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315" yWindow="30" windowWidth="24000" windowHeight="11475"/>
  </bookViews>
  <sheets>
    <sheet name="ДОДАТОК2" sheetId="15" r:id="rId1"/>
    <sheet name="ДОДАТОК_3" sheetId="4" r:id="rId2"/>
    <sheet name="ДОДАТОК_4" sheetId="5" r:id="rId3"/>
    <sheet name="ДОДАТОК_5" sheetId="10" r:id="rId4"/>
    <sheet name="ДОДАТОК_6" sheetId="8" r:id="rId5"/>
    <sheet name="Расш ІОД" sheetId="18" r:id="rId6"/>
    <sheet name="Лист1" sheetId="19" r:id="rId7"/>
  </sheets>
  <definedNames>
    <definedName name="_xlnm.Print_Titles" localSheetId="2">ДОДАТОК_4!$4:$5</definedName>
  </definedNames>
  <calcPr calcId="144525"/>
</workbook>
</file>

<file path=xl/calcChain.xml><?xml version="1.0" encoding="utf-8"?>
<calcChain xmlns="http://schemas.openxmlformats.org/spreadsheetml/2006/main">
  <c r="P33" i="15" l="1"/>
  <c r="N33" i="15"/>
  <c r="O33" i="15"/>
  <c r="M33" i="15"/>
  <c r="H61" i="5" l="1"/>
  <c r="E61" i="5"/>
  <c r="C61" i="5"/>
  <c r="H60" i="5"/>
  <c r="G72" i="10" l="1"/>
  <c r="C10" i="10"/>
  <c r="G126" i="15" l="1"/>
  <c r="H127" i="15" l="1"/>
  <c r="I127" i="15"/>
  <c r="J127" i="15"/>
  <c r="K127" i="15"/>
  <c r="E33" i="15" l="1"/>
  <c r="H33" i="15"/>
  <c r="I33" i="15"/>
  <c r="J33" i="15"/>
  <c r="C28" i="15"/>
  <c r="G28" i="15" s="1"/>
  <c r="C24" i="15"/>
  <c r="K24" i="15" s="1"/>
  <c r="I23" i="15"/>
  <c r="J23" i="15"/>
  <c r="H23" i="15"/>
  <c r="D23" i="15"/>
  <c r="E23" i="15"/>
  <c r="F23" i="15"/>
  <c r="H101" i="5"/>
  <c r="C27" i="15" s="1"/>
  <c r="E101" i="5"/>
  <c r="D101" i="5"/>
  <c r="C101" i="5"/>
  <c r="H100" i="5"/>
  <c r="H99" i="5" s="1"/>
  <c r="C26" i="15" s="1"/>
  <c r="G26" i="15" s="1"/>
  <c r="E99" i="5"/>
  <c r="D99" i="5"/>
  <c r="C99" i="5"/>
  <c r="H97" i="5"/>
  <c r="C25" i="15" s="1"/>
  <c r="G25" i="15" s="1"/>
  <c r="E97" i="5"/>
  <c r="E95" i="5" s="1"/>
  <c r="D97" i="5"/>
  <c r="C97" i="5"/>
  <c r="C95" i="5" s="1"/>
  <c r="G95" i="5"/>
  <c r="F95" i="5"/>
  <c r="D95" i="5" l="1"/>
  <c r="G27" i="15"/>
  <c r="K27" i="15"/>
  <c r="K26" i="15"/>
  <c r="G24" i="15"/>
  <c r="G23" i="15" s="1"/>
  <c r="H95" i="5"/>
  <c r="K28" i="15"/>
  <c r="C23" i="15"/>
  <c r="K23" i="15" l="1"/>
  <c r="H35" i="5"/>
  <c r="G66" i="5" l="1"/>
  <c r="G15" i="18" l="1"/>
  <c r="F15" i="18"/>
  <c r="D15" i="18"/>
  <c r="G11" i="18"/>
  <c r="F11" i="18"/>
  <c r="F9" i="18" s="1"/>
  <c r="F8" i="18" s="1"/>
  <c r="D11" i="18"/>
  <c r="G9" i="18"/>
  <c r="G8" i="18" s="1"/>
  <c r="D9" i="18"/>
  <c r="E8" i="18"/>
  <c r="D8" i="18"/>
  <c r="F126" i="15"/>
  <c r="F127" i="15" s="1"/>
  <c r="E126" i="15"/>
  <c r="E127" i="15" s="1"/>
  <c r="D126" i="15"/>
  <c r="D127" i="15" s="1"/>
  <c r="G41" i="10" l="1"/>
  <c r="H41" i="10" s="1"/>
  <c r="H39" i="10" s="1"/>
  <c r="J78" i="15" l="1"/>
  <c r="H16" i="5" l="1"/>
  <c r="H12" i="5"/>
  <c r="H65" i="5" l="1"/>
  <c r="G10" i="5"/>
  <c r="G43" i="15" l="1"/>
  <c r="F43" i="15"/>
  <c r="D43" i="15"/>
  <c r="F32" i="15"/>
  <c r="D32" i="15"/>
  <c r="C32" i="15"/>
  <c r="J129" i="15" l="1"/>
  <c r="F129" i="15"/>
  <c r="I129" i="15"/>
  <c r="E129" i="15"/>
  <c r="E17" i="15" l="1"/>
  <c r="E43" i="15" s="1"/>
  <c r="H72" i="10" l="1"/>
  <c r="E72" i="10" s="1"/>
  <c r="G71" i="10"/>
  <c r="F71" i="10"/>
  <c r="H70" i="10"/>
  <c r="E70" i="10" s="1"/>
  <c r="E69" i="10" s="1"/>
  <c r="G69" i="10"/>
  <c r="F69" i="10"/>
  <c r="H68" i="10"/>
  <c r="E68" i="10" s="1"/>
  <c r="H67" i="10"/>
  <c r="E67" i="10" s="1"/>
  <c r="G66" i="10"/>
  <c r="F66" i="10"/>
  <c r="H64" i="10"/>
  <c r="E64" i="10" s="1"/>
  <c r="E63" i="10" s="1"/>
  <c r="H63" i="10"/>
  <c r="G63" i="10"/>
  <c r="F63" i="10"/>
  <c r="H62" i="10"/>
  <c r="E62" i="10" s="1"/>
  <c r="E61" i="10" s="1"/>
  <c r="G61" i="10"/>
  <c r="F61" i="10"/>
  <c r="H60" i="10"/>
  <c r="H59" i="10" s="1"/>
  <c r="G59" i="10"/>
  <c r="F59" i="10"/>
  <c r="H58" i="10"/>
  <c r="G57" i="10"/>
  <c r="F57" i="10"/>
  <c r="H56" i="10"/>
  <c r="E56" i="10" s="1"/>
  <c r="H55" i="10"/>
  <c r="E55" i="10" s="1"/>
  <c r="G54" i="10"/>
  <c r="F54" i="10"/>
  <c r="H53" i="10"/>
  <c r="H52" i="10" s="1"/>
  <c r="G52" i="10"/>
  <c r="F52" i="10"/>
  <c r="H51" i="10"/>
  <c r="E51" i="10" s="1"/>
  <c r="H50" i="10"/>
  <c r="E50" i="10" s="1"/>
  <c r="G49" i="10"/>
  <c r="F49" i="10"/>
  <c r="H45" i="10"/>
  <c r="E45" i="10" s="1"/>
  <c r="G44" i="10"/>
  <c r="F44" i="10"/>
  <c r="H44" i="10" s="1"/>
  <c r="E44" i="10" s="1"/>
  <c r="H43" i="10"/>
  <c r="E43" i="10" s="1"/>
  <c r="E42" i="10" s="1"/>
  <c r="G42" i="10"/>
  <c r="F42" i="10"/>
  <c r="H40" i="10"/>
  <c r="E40" i="10" s="1"/>
  <c r="F39" i="10"/>
  <c r="H37" i="10"/>
  <c r="H36" i="10" s="1"/>
  <c r="E37" i="10"/>
  <c r="E36" i="10" s="1"/>
  <c r="G36" i="10"/>
  <c r="F36" i="10"/>
  <c r="H35" i="10"/>
  <c r="E35" i="10" s="1"/>
  <c r="E34" i="10" s="1"/>
  <c r="G34" i="10"/>
  <c r="F34" i="10"/>
  <c r="H33" i="10"/>
  <c r="E33" i="10" s="1"/>
  <c r="E32" i="10" s="1"/>
  <c r="G32" i="10"/>
  <c r="F32" i="10"/>
  <c r="H31" i="10"/>
  <c r="E31" i="10" s="1"/>
  <c r="E30" i="10" s="1"/>
  <c r="G30" i="10"/>
  <c r="F30" i="10"/>
  <c r="H29" i="10"/>
  <c r="E29" i="10" s="1"/>
  <c r="H28" i="10"/>
  <c r="E28" i="10" s="1"/>
  <c r="G27" i="10"/>
  <c r="G21" i="10" s="1"/>
  <c r="F27" i="10"/>
  <c r="H26" i="10"/>
  <c r="E26" i="10" s="1"/>
  <c r="E25" i="10" s="1"/>
  <c r="G25" i="10"/>
  <c r="F25" i="10"/>
  <c r="H24" i="10"/>
  <c r="E24" i="10" s="1"/>
  <c r="H23" i="10"/>
  <c r="E23" i="10" s="1"/>
  <c r="G22" i="10"/>
  <c r="F22" i="10"/>
  <c r="E60" i="10" l="1"/>
  <c r="E59" i="10" s="1"/>
  <c r="H69" i="10"/>
  <c r="H71" i="10"/>
  <c r="E71" i="10" s="1"/>
  <c r="G48" i="10"/>
  <c r="G73" i="10" s="1"/>
  <c r="E22" i="10"/>
  <c r="H25" i="10"/>
  <c r="E27" i="10"/>
  <c r="E53" i="10"/>
  <c r="E52" i="10" s="1"/>
  <c r="F21" i="10"/>
  <c r="E66" i="10"/>
  <c r="E21" i="10"/>
  <c r="H32" i="10"/>
  <c r="E54" i="10"/>
  <c r="G39" i="10"/>
  <c r="H42" i="10"/>
  <c r="E58" i="10"/>
  <c r="E57" i="10" s="1"/>
  <c r="E49" i="10"/>
  <c r="F48" i="10"/>
  <c r="F73" i="10" s="1"/>
  <c r="H27" i="10"/>
  <c r="H30" i="10"/>
  <c r="H34" i="10"/>
  <c r="H54" i="10"/>
  <c r="H57" i="10"/>
  <c r="H61" i="10"/>
  <c r="H66" i="10"/>
  <c r="H22" i="10"/>
  <c r="H49" i="10"/>
  <c r="E41" i="10"/>
  <c r="E39" i="10" s="1"/>
  <c r="H48" i="10" l="1"/>
  <c r="H73" i="10" s="1"/>
  <c r="E48" i="10"/>
  <c r="E73" i="10" s="1"/>
  <c r="H21" i="10"/>
  <c r="E75" i="5" l="1"/>
  <c r="H11" i="5" l="1"/>
  <c r="P36" i="4" l="1"/>
  <c r="O36" i="4"/>
  <c r="N36" i="4"/>
  <c r="P37" i="4" l="1"/>
  <c r="P41" i="4" l="1"/>
  <c r="E37" i="4"/>
  <c r="E41" i="4" s="1"/>
  <c r="F78" i="4"/>
  <c r="G78" i="4"/>
  <c r="H78" i="4"/>
  <c r="I78" i="4"/>
  <c r="J78" i="4"/>
  <c r="K78" i="4"/>
  <c r="L78" i="4"/>
  <c r="M78" i="4"/>
  <c r="N78" i="4"/>
  <c r="O78" i="4"/>
  <c r="P78" i="4"/>
  <c r="E78" i="4"/>
  <c r="O37" i="4" l="1"/>
  <c r="O41" i="4" s="1"/>
  <c r="N37" i="4"/>
  <c r="N41" i="4" s="1"/>
  <c r="N99" i="4" s="1"/>
  <c r="M37" i="4"/>
  <c r="M41" i="4" s="1"/>
  <c r="L37" i="4"/>
  <c r="L41" i="4" s="1"/>
  <c r="I37" i="4"/>
  <c r="I41" i="4" s="1"/>
  <c r="K37" i="4"/>
  <c r="K41" i="4" s="1"/>
  <c r="J37" i="4"/>
  <c r="J41" i="4" s="1"/>
  <c r="H37" i="4"/>
  <c r="H41" i="4" s="1"/>
  <c r="G37" i="4"/>
  <c r="G41" i="4" s="1"/>
  <c r="F37" i="4"/>
  <c r="F41" i="4" s="1"/>
  <c r="J36" i="4"/>
  <c r="M36" i="4"/>
  <c r="L36" i="4"/>
  <c r="K36" i="4"/>
  <c r="I36" i="4"/>
  <c r="H36" i="4"/>
  <c r="G36" i="4"/>
  <c r="G40" i="4" s="1"/>
  <c r="F36" i="4"/>
  <c r="E36" i="4"/>
  <c r="D110" i="5" l="1"/>
  <c r="D105" i="5"/>
  <c r="D81" i="5"/>
  <c r="D79" i="5"/>
  <c r="D78" i="5"/>
  <c r="D77" i="5" s="1"/>
  <c r="D75" i="5"/>
  <c r="D38" i="5"/>
  <c r="D36" i="5"/>
  <c r="D35" i="5"/>
  <c r="D34" i="5" s="1"/>
  <c r="D32" i="5"/>
  <c r="D30" i="5"/>
  <c r="D28" i="5"/>
  <c r="D18" i="5"/>
  <c r="D7" i="5"/>
  <c r="D104" i="5" l="1"/>
  <c r="D68" i="5"/>
  <c r="D6" i="5"/>
  <c r="H129" i="15"/>
  <c r="D113" i="5" l="1"/>
  <c r="C94" i="5"/>
  <c r="C85" i="5"/>
  <c r="C48" i="5"/>
  <c r="C19" i="5" l="1"/>
  <c r="C9" i="5" l="1"/>
  <c r="D129" i="15" l="1"/>
  <c r="D104" i="15"/>
  <c r="P49" i="4" l="1"/>
  <c r="G49" i="4"/>
  <c r="E34" i="4"/>
  <c r="E110" i="5" l="1"/>
  <c r="E105" i="5"/>
  <c r="E81" i="5"/>
  <c r="E79" i="5"/>
  <c r="E77" i="5"/>
  <c r="E69" i="5"/>
  <c r="E39" i="5"/>
  <c r="E36" i="5"/>
  <c r="E34" i="5"/>
  <c r="E32" i="5"/>
  <c r="E30" i="5"/>
  <c r="E28" i="5"/>
  <c r="E18" i="5"/>
  <c r="E7" i="5"/>
  <c r="F30" i="15" l="1"/>
  <c r="E38" i="5"/>
  <c r="E6" i="5" s="1"/>
  <c r="E104" i="5"/>
  <c r="E68" i="5"/>
  <c r="J128" i="15"/>
  <c r="J104" i="15"/>
  <c r="J102" i="15"/>
  <c r="J101" i="15"/>
  <c r="J100" i="15"/>
  <c r="J92" i="15"/>
  <c r="J91" i="15"/>
  <c r="J90" i="15"/>
  <c r="J83" i="15"/>
  <c r="J82" i="15"/>
  <c r="J57" i="15" s="1"/>
  <c r="J81" i="15"/>
  <c r="J80" i="15"/>
  <c r="J55" i="15" s="1"/>
  <c r="J74" i="15"/>
  <c r="J62" i="15"/>
  <c r="J60" i="15" s="1"/>
  <c r="J47" i="15"/>
  <c r="J46" i="15"/>
  <c r="J45" i="15"/>
  <c r="J39" i="15"/>
  <c r="J29" i="15"/>
  <c r="J17" i="15"/>
  <c r="J8" i="15"/>
  <c r="F128" i="15"/>
  <c r="F104" i="15"/>
  <c r="F74" i="15"/>
  <c r="F62" i="15"/>
  <c r="F39" i="15"/>
  <c r="F17" i="15"/>
  <c r="F8" i="15"/>
  <c r="E113" i="5" l="1"/>
  <c r="J36" i="15"/>
  <c r="J94" i="15" s="1"/>
  <c r="J99" i="15" s="1"/>
  <c r="J56" i="15"/>
  <c r="J79" i="15"/>
  <c r="F41" i="15"/>
  <c r="F36" i="15"/>
  <c r="F94" i="15" s="1"/>
  <c r="F99" i="15" s="1"/>
  <c r="F29" i="15"/>
  <c r="J41" i="15"/>
  <c r="F79" i="15"/>
  <c r="F60" i="15"/>
  <c r="F33" i="15" l="1"/>
  <c r="J35" i="15"/>
  <c r="J59" i="15"/>
  <c r="J44" i="15"/>
  <c r="J49" i="15" s="1"/>
  <c r="J84" i="15"/>
  <c r="J88" i="15" s="1"/>
  <c r="J93" i="15" s="1"/>
  <c r="J58" i="15" s="1"/>
  <c r="J54" i="15"/>
  <c r="F35" i="15"/>
  <c r="J53" i="15" l="1"/>
  <c r="F59" i="15"/>
  <c r="F54" i="15"/>
  <c r="F44" i="15"/>
  <c r="F84" i="15"/>
  <c r="F89" i="15" s="1"/>
  <c r="J87" i="15"/>
  <c r="J89" i="15"/>
  <c r="J86" i="15"/>
  <c r="J85" i="15"/>
  <c r="G46" i="10"/>
  <c r="H20" i="5" s="1"/>
  <c r="J48" i="15" l="1"/>
  <c r="F49" i="15"/>
  <c r="H46" i="10"/>
  <c r="E46" i="10"/>
  <c r="C9" i="10" s="1"/>
  <c r="F46" i="10"/>
  <c r="H8" i="5" s="1"/>
  <c r="J142" i="15"/>
  <c r="I142" i="15"/>
  <c r="H142" i="15"/>
  <c r="F142" i="15"/>
  <c r="E142" i="15"/>
  <c r="D142" i="15"/>
  <c r="I128" i="15"/>
  <c r="H128" i="15"/>
  <c r="E128" i="15"/>
  <c r="D128" i="15"/>
  <c r="K122" i="15"/>
  <c r="G122" i="15"/>
  <c r="K112" i="15"/>
  <c r="G112" i="15"/>
  <c r="K108" i="15"/>
  <c r="K107" i="15"/>
  <c r="K106" i="15"/>
  <c r="I104" i="15"/>
  <c r="H104" i="15"/>
  <c r="E104" i="15"/>
  <c r="I103" i="15"/>
  <c r="I102" i="15"/>
  <c r="H102" i="15"/>
  <c r="I101" i="15"/>
  <c r="H101" i="15"/>
  <c r="I100" i="15"/>
  <c r="H100" i="15"/>
  <c r="I92" i="15"/>
  <c r="H92" i="15"/>
  <c r="I91" i="15"/>
  <c r="H91" i="15"/>
  <c r="I90" i="15"/>
  <c r="H90" i="15"/>
  <c r="H83" i="15"/>
  <c r="I82" i="15"/>
  <c r="H82" i="15"/>
  <c r="I81" i="15"/>
  <c r="H81" i="15"/>
  <c r="I80" i="15"/>
  <c r="H80" i="15"/>
  <c r="H74" i="15"/>
  <c r="E74" i="15"/>
  <c r="D74" i="15"/>
  <c r="I62" i="15"/>
  <c r="I78" i="15" s="1"/>
  <c r="H62" i="15"/>
  <c r="H60" i="15" s="1"/>
  <c r="E62" i="15"/>
  <c r="D62" i="15"/>
  <c r="I47" i="15"/>
  <c r="H47" i="15"/>
  <c r="I46" i="15"/>
  <c r="H46" i="15"/>
  <c r="I45" i="15"/>
  <c r="H45" i="15"/>
  <c r="I39" i="15"/>
  <c r="I41" i="15" s="1"/>
  <c r="H39" i="15"/>
  <c r="H36" i="15" s="1"/>
  <c r="E39" i="15"/>
  <c r="E41" i="15" s="1"/>
  <c r="D39" i="15"/>
  <c r="D41" i="15" s="1"/>
  <c r="G38" i="15"/>
  <c r="I29" i="15"/>
  <c r="H29" i="15"/>
  <c r="E29" i="15"/>
  <c r="C19" i="15"/>
  <c r="G19" i="15" s="1"/>
  <c r="I17" i="15"/>
  <c r="H17" i="15"/>
  <c r="D17" i="15"/>
  <c r="C15" i="15"/>
  <c r="C13" i="15"/>
  <c r="I8" i="15"/>
  <c r="H8" i="15"/>
  <c r="E8" i="15"/>
  <c r="D8" i="15"/>
  <c r="G13" i="15" l="1"/>
  <c r="G127" i="15" s="1"/>
  <c r="C127" i="15"/>
  <c r="C115" i="15"/>
  <c r="I55" i="15"/>
  <c r="H56" i="15"/>
  <c r="I60" i="15"/>
  <c r="I56" i="15"/>
  <c r="F1" i="15"/>
  <c r="H94" i="15"/>
  <c r="H99" i="15" s="1"/>
  <c r="H35" i="15"/>
  <c r="I83" i="15"/>
  <c r="I74" i="15"/>
  <c r="H41" i="15"/>
  <c r="H54" i="15"/>
  <c r="J143" i="15"/>
  <c r="J144" i="15" s="1"/>
  <c r="I54" i="15"/>
  <c r="H55" i="15"/>
  <c r="H57" i="15"/>
  <c r="D1" i="15"/>
  <c r="E1" i="15"/>
  <c r="D36" i="15"/>
  <c r="D143" i="15"/>
  <c r="D144" i="15" s="1"/>
  <c r="D60" i="15"/>
  <c r="D79" i="15"/>
  <c r="H79" i="15"/>
  <c r="C128" i="15"/>
  <c r="E143" i="15"/>
  <c r="E144" i="15" s="1"/>
  <c r="I57" i="15"/>
  <c r="E36" i="15"/>
  <c r="I36" i="15"/>
  <c r="E79" i="15"/>
  <c r="H44" i="15" l="1"/>
  <c r="H49" i="15" s="1"/>
  <c r="H53" i="15" s="1"/>
  <c r="H48" i="15" s="1"/>
  <c r="I84" i="15"/>
  <c r="I89" i="15" s="1"/>
  <c r="I59" i="15"/>
  <c r="I143" i="15"/>
  <c r="I144" i="15" s="1"/>
  <c r="H143" i="15"/>
  <c r="H144" i="15" s="1"/>
  <c r="F143" i="15"/>
  <c r="F144" i="15" s="1"/>
  <c r="H59" i="15"/>
  <c r="I79" i="15"/>
  <c r="H84" i="15"/>
  <c r="H87" i="15" s="1"/>
  <c r="D94" i="15"/>
  <c r="D35" i="15"/>
  <c r="I94" i="15"/>
  <c r="I99" i="15" s="1"/>
  <c r="I35" i="15"/>
  <c r="E35" i="15"/>
  <c r="E94" i="15"/>
  <c r="I44" i="15"/>
  <c r="I49" i="15" s="1"/>
  <c r="I53" i="15" s="1"/>
  <c r="I48" i="15" s="1"/>
  <c r="E44" i="15"/>
  <c r="E84" i="15"/>
  <c r="E59" i="15"/>
  <c r="E54" i="15"/>
  <c r="I88" i="15" l="1"/>
  <c r="I86" i="15"/>
  <c r="I87" i="15"/>
  <c r="I85" i="15"/>
  <c r="H89" i="15"/>
  <c r="D99" i="15"/>
  <c r="H88" i="15"/>
  <c r="H85" i="15"/>
  <c r="H86" i="15"/>
  <c r="I93" i="15"/>
  <c r="I58" i="15" s="1"/>
  <c r="E99" i="15"/>
  <c r="E89" i="15"/>
  <c r="E49" i="15"/>
  <c r="H93" i="15" l="1"/>
  <c r="H58" i="15" l="1"/>
  <c r="F66" i="5" l="1"/>
  <c r="H39" i="5"/>
  <c r="C39" i="5"/>
  <c r="G31" i="5"/>
  <c r="P77" i="4" l="1"/>
  <c r="O77" i="4"/>
  <c r="N77" i="4"/>
  <c r="M77" i="4"/>
  <c r="L77" i="4"/>
  <c r="K77" i="4"/>
  <c r="J77" i="4"/>
  <c r="I77" i="4"/>
  <c r="H77" i="4"/>
  <c r="G77" i="4"/>
  <c r="G98" i="4" s="1"/>
  <c r="F77" i="4"/>
  <c r="E77" i="4"/>
  <c r="D72" i="4"/>
  <c r="D71" i="4"/>
  <c r="D70" i="4"/>
  <c r="P68" i="4"/>
  <c r="P69" i="4" s="1"/>
  <c r="O68" i="4"/>
  <c r="O69" i="4" s="1"/>
  <c r="N68" i="4"/>
  <c r="N69" i="4" s="1"/>
  <c r="M68" i="4"/>
  <c r="M69" i="4" s="1"/>
  <c r="L68" i="4"/>
  <c r="L69" i="4" s="1"/>
  <c r="L76" i="4" s="1"/>
  <c r="K68" i="4"/>
  <c r="K69" i="4" s="1"/>
  <c r="J68" i="4"/>
  <c r="J69" i="4" s="1"/>
  <c r="I68" i="4"/>
  <c r="I69" i="4" s="1"/>
  <c r="H68" i="4"/>
  <c r="H69" i="4" s="1"/>
  <c r="G68" i="4"/>
  <c r="G69" i="4" s="1"/>
  <c r="F68" i="4"/>
  <c r="F69" i="4" s="1"/>
  <c r="E68" i="4"/>
  <c r="E69" i="4" s="1"/>
  <c r="D67" i="4"/>
  <c r="D66" i="4"/>
  <c r="P64" i="4"/>
  <c r="P65" i="4" s="1"/>
  <c r="O64" i="4"/>
  <c r="O65" i="4" s="1"/>
  <c r="N64" i="4"/>
  <c r="N65" i="4" s="1"/>
  <c r="M64" i="4"/>
  <c r="M65" i="4" s="1"/>
  <c r="L64" i="4"/>
  <c r="L65" i="4" s="1"/>
  <c r="K64" i="4"/>
  <c r="K65" i="4" s="1"/>
  <c r="J64" i="4"/>
  <c r="J65" i="4" s="1"/>
  <c r="I64" i="4"/>
  <c r="I65" i="4" s="1"/>
  <c r="H64" i="4"/>
  <c r="H65" i="4" s="1"/>
  <c r="G64" i="4"/>
  <c r="G65" i="4" s="1"/>
  <c r="F64" i="4"/>
  <c r="F65" i="4" s="1"/>
  <c r="E64" i="4"/>
  <c r="E65" i="4" s="1"/>
  <c r="D63" i="4"/>
  <c r="D62" i="4"/>
  <c r="P60" i="4"/>
  <c r="P61" i="4" s="1"/>
  <c r="O60" i="4"/>
  <c r="O61" i="4" s="1"/>
  <c r="N60" i="4"/>
  <c r="N61" i="4" s="1"/>
  <c r="M60" i="4"/>
  <c r="M61" i="4" s="1"/>
  <c r="L60" i="4"/>
  <c r="L61" i="4" s="1"/>
  <c r="K60" i="4"/>
  <c r="K61" i="4" s="1"/>
  <c r="J60" i="4"/>
  <c r="J61" i="4" s="1"/>
  <c r="I60" i="4"/>
  <c r="I61" i="4" s="1"/>
  <c r="H60" i="4"/>
  <c r="H61" i="4" s="1"/>
  <c r="G60" i="4"/>
  <c r="G61" i="4" s="1"/>
  <c r="F60" i="4"/>
  <c r="F61" i="4" s="1"/>
  <c r="E60" i="4"/>
  <c r="E61" i="4" s="1"/>
  <c r="D59" i="4"/>
  <c r="D58" i="4"/>
  <c r="P56" i="4"/>
  <c r="P57" i="4" s="1"/>
  <c r="O56" i="4"/>
  <c r="O57" i="4" s="1"/>
  <c r="N56" i="4"/>
  <c r="N57" i="4" s="1"/>
  <c r="M56" i="4"/>
  <c r="M57" i="4" s="1"/>
  <c r="L56" i="4"/>
  <c r="L57" i="4" s="1"/>
  <c r="L73" i="4" s="1"/>
  <c r="K56" i="4"/>
  <c r="K57" i="4" s="1"/>
  <c r="J56" i="4"/>
  <c r="J57" i="4" s="1"/>
  <c r="I56" i="4"/>
  <c r="I57" i="4" s="1"/>
  <c r="H56" i="4"/>
  <c r="H57" i="4" s="1"/>
  <c r="G56" i="4"/>
  <c r="F56" i="4"/>
  <c r="F57" i="4" s="1"/>
  <c r="E56" i="4"/>
  <c r="E57" i="4" s="1"/>
  <c r="D53" i="4"/>
  <c r="D52" i="4"/>
  <c r="D51" i="4"/>
  <c r="D50" i="4"/>
  <c r="O49" i="4"/>
  <c r="N49" i="4"/>
  <c r="M49" i="4"/>
  <c r="L49" i="4"/>
  <c r="K49" i="4"/>
  <c r="J49" i="4"/>
  <c r="I49" i="4"/>
  <c r="H49" i="4"/>
  <c r="F49" i="4"/>
  <c r="E49" i="4"/>
  <c r="D38" i="4"/>
  <c r="M99" i="4"/>
  <c r="I99" i="4"/>
  <c r="G99" i="4"/>
  <c r="E99" i="4"/>
  <c r="P40" i="4"/>
  <c r="O40" i="4"/>
  <c r="O98" i="4" s="1"/>
  <c r="N40" i="4"/>
  <c r="N98" i="4" s="1"/>
  <c r="K40" i="4"/>
  <c r="J40" i="4"/>
  <c r="H40" i="4"/>
  <c r="H134" i="4" s="1"/>
  <c r="F40" i="4"/>
  <c r="P34" i="4"/>
  <c r="P35" i="4" s="1"/>
  <c r="P39" i="4" s="1"/>
  <c r="O34" i="4"/>
  <c r="O35" i="4" s="1"/>
  <c r="O39" i="4" s="1"/>
  <c r="N34" i="4"/>
  <c r="N35" i="4" s="1"/>
  <c r="N39" i="4" s="1"/>
  <c r="M34" i="4"/>
  <c r="M35" i="4" s="1"/>
  <c r="M39" i="4" s="1"/>
  <c r="L34" i="4"/>
  <c r="K34" i="4"/>
  <c r="K35" i="4" s="1"/>
  <c r="K39" i="4" s="1"/>
  <c r="J34" i="4"/>
  <c r="J35" i="4" s="1"/>
  <c r="J39" i="4" s="1"/>
  <c r="I34" i="4"/>
  <c r="I35" i="4" s="1"/>
  <c r="I39" i="4" s="1"/>
  <c r="H34" i="4"/>
  <c r="H35" i="4" s="1"/>
  <c r="H39" i="4" s="1"/>
  <c r="G34" i="4"/>
  <c r="G35" i="4" s="1"/>
  <c r="G39" i="4" s="1"/>
  <c r="F34" i="4"/>
  <c r="E35" i="4"/>
  <c r="E39" i="4" s="1"/>
  <c r="D32" i="4"/>
  <c r="D28" i="4"/>
  <c r="P27" i="4"/>
  <c r="P85" i="4" s="1"/>
  <c r="O27" i="4"/>
  <c r="O85" i="4" s="1"/>
  <c r="N27" i="4"/>
  <c r="N85" i="4" s="1"/>
  <c r="M27" i="4"/>
  <c r="M85" i="4" s="1"/>
  <c r="L27" i="4"/>
  <c r="L85" i="4" s="1"/>
  <c r="K27" i="4"/>
  <c r="K85" i="4" s="1"/>
  <c r="J27" i="4"/>
  <c r="J85" i="4" s="1"/>
  <c r="I27" i="4"/>
  <c r="I85" i="4" s="1"/>
  <c r="H27" i="4"/>
  <c r="H85" i="4" s="1"/>
  <c r="G27" i="4"/>
  <c r="G85" i="4" s="1"/>
  <c r="F27" i="4"/>
  <c r="F85" i="4" s="1"/>
  <c r="E27" i="4"/>
  <c r="E85" i="4" s="1"/>
  <c r="P22" i="4"/>
  <c r="O22" i="4"/>
  <c r="N22" i="4"/>
  <c r="M22" i="4"/>
  <c r="L22" i="4"/>
  <c r="K22" i="4"/>
  <c r="J22" i="4"/>
  <c r="I22" i="4"/>
  <c r="H22" i="4"/>
  <c r="G22" i="4"/>
  <c r="F22" i="4"/>
  <c r="E22" i="4"/>
  <c r="E21" i="4"/>
  <c r="E79" i="4" s="1"/>
  <c r="P24" i="4"/>
  <c r="N75" i="4"/>
  <c r="J75" i="4"/>
  <c r="I24" i="4"/>
  <c r="H24" i="4"/>
  <c r="M74" i="4"/>
  <c r="I74" i="4"/>
  <c r="E74" i="4"/>
  <c r="E14" i="4"/>
  <c r="F14" i="4" s="1"/>
  <c r="G14" i="4" s="1"/>
  <c r="H14" i="4" s="1"/>
  <c r="I14" i="4" s="1"/>
  <c r="J14" i="4" s="1"/>
  <c r="K14" i="4" s="1"/>
  <c r="L14" i="4" s="1"/>
  <c r="M14" i="4" s="1"/>
  <c r="N14" i="4" s="1"/>
  <c r="O14" i="4" s="1"/>
  <c r="P14" i="4" s="1"/>
  <c r="P10" i="4"/>
  <c r="P26" i="4" s="1"/>
  <c r="P84" i="4" s="1"/>
  <c r="O10" i="4"/>
  <c r="O26" i="4" s="1"/>
  <c r="N10" i="4"/>
  <c r="N26" i="4" s="1"/>
  <c r="M10" i="4"/>
  <c r="M26" i="4" s="1"/>
  <c r="M84" i="4" s="1"/>
  <c r="L10" i="4"/>
  <c r="L26" i="4" s="1"/>
  <c r="L84" i="4" s="1"/>
  <c r="K10" i="4"/>
  <c r="K26" i="4" s="1"/>
  <c r="J10" i="4"/>
  <c r="J26" i="4" s="1"/>
  <c r="J84" i="4" s="1"/>
  <c r="I10" i="4"/>
  <c r="I26" i="4" s="1"/>
  <c r="I84" i="4" s="1"/>
  <c r="H10" i="4"/>
  <c r="H26" i="4" s="1"/>
  <c r="H84" i="4" s="1"/>
  <c r="G10" i="4"/>
  <c r="G26" i="4" s="1"/>
  <c r="F10" i="4"/>
  <c r="F26" i="4" s="1"/>
  <c r="E10" i="4"/>
  <c r="E26" i="4" s="1"/>
  <c r="E84" i="4" s="1"/>
  <c r="P7" i="4"/>
  <c r="O7" i="4"/>
  <c r="N7" i="4"/>
  <c r="M7" i="4"/>
  <c r="L7" i="4"/>
  <c r="K7" i="4"/>
  <c r="J7" i="4"/>
  <c r="I7" i="4"/>
  <c r="H7" i="4"/>
  <c r="G7" i="4"/>
  <c r="F7" i="4"/>
  <c r="E7" i="4"/>
  <c r="E5" i="4"/>
  <c r="F5" i="4" s="1"/>
  <c r="G5" i="4" s="1"/>
  <c r="H5" i="4" s="1"/>
  <c r="I5" i="4" s="1"/>
  <c r="J5" i="4" s="1"/>
  <c r="K5" i="4" s="1"/>
  <c r="L5" i="4" s="1"/>
  <c r="M5" i="4" s="1"/>
  <c r="G62" i="15" l="1"/>
  <c r="G60" i="15" s="1"/>
  <c r="K64" i="15"/>
  <c r="K81" i="15" s="1"/>
  <c r="K66" i="15"/>
  <c r="K63" i="15"/>
  <c r="K100" i="15" s="1"/>
  <c r="K65" i="15"/>
  <c r="K92" i="15" s="1"/>
  <c r="K98" i="4"/>
  <c r="H76" i="4"/>
  <c r="H97" i="4" s="1"/>
  <c r="P76" i="4"/>
  <c r="E76" i="4"/>
  <c r="E97" i="4" s="1"/>
  <c r="I76" i="4"/>
  <c r="I97" i="4" s="1"/>
  <c r="M76" i="4"/>
  <c r="M97" i="4" s="1"/>
  <c r="F98" i="4"/>
  <c r="J98" i="4"/>
  <c r="F76" i="4"/>
  <c r="J76" i="4"/>
  <c r="J97" i="4" s="1"/>
  <c r="N76" i="4"/>
  <c r="G76" i="4"/>
  <c r="G97" i="4" s="1"/>
  <c r="K76" i="4"/>
  <c r="K97" i="4" s="1"/>
  <c r="O76" i="4"/>
  <c r="H98" i="4"/>
  <c r="P134" i="4"/>
  <c r="P98" i="4"/>
  <c r="K135" i="4"/>
  <c r="K99" i="4"/>
  <c r="I135" i="4"/>
  <c r="J134" i="4"/>
  <c r="F134" i="4"/>
  <c r="F99" i="4"/>
  <c r="F35" i="4"/>
  <c r="F39" i="4" s="1"/>
  <c r="L35" i="4"/>
  <c r="M135" i="4"/>
  <c r="N135" i="4"/>
  <c r="G135" i="4"/>
  <c r="G25" i="4"/>
  <c r="G83" i="4" s="1"/>
  <c r="K25" i="4"/>
  <c r="K83" i="4" s="1"/>
  <c r="D49" i="4"/>
  <c r="J55" i="4"/>
  <c r="J95" i="4" s="1"/>
  <c r="D69" i="4"/>
  <c r="D78" i="4"/>
  <c r="E75" i="4"/>
  <c r="M75" i="4"/>
  <c r="F74" i="4"/>
  <c r="D34" i="4"/>
  <c r="G134" i="4"/>
  <c r="K134" i="4"/>
  <c r="O134" i="4"/>
  <c r="J45" i="4"/>
  <c r="G55" i="4"/>
  <c r="G94" i="4" s="1"/>
  <c r="K74" i="4"/>
  <c r="D68" i="4"/>
  <c r="L44" i="4"/>
  <c r="O45" i="4"/>
  <c r="L40" i="4"/>
  <c r="L134" i="4" s="1"/>
  <c r="M55" i="4"/>
  <c r="M94" i="4" s="1"/>
  <c r="I75" i="4"/>
  <c r="F75" i="4"/>
  <c r="N45" i="4"/>
  <c r="L75" i="4"/>
  <c r="P75" i="4"/>
  <c r="E23" i="4"/>
  <c r="E81" i="4" s="1"/>
  <c r="F55" i="4"/>
  <c r="F94" i="4" s="1"/>
  <c r="N55" i="4"/>
  <c r="N94" i="4" s="1"/>
  <c r="D60" i="4"/>
  <c r="H82" i="4"/>
  <c r="H89" i="4" s="1"/>
  <c r="F23" i="4"/>
  <c r="F81" i="4" s="1"/>
  <c r="F88" i="4" s="1"/>
  <c r="J74" i="4"/>
  <c r="N134" i="4"/>
  <c r="F45" i="4"/>
  <c r="K91" i="15"/>
  <c r="K101" i="15"/>
  <c r="H55" i="4"/>
  <c r="H94" i="4" s="1"/>
  <c r="O80" i="4"/>
  <c r="O87" i="4" s="1"/>
  <c r="D77" i="4"/>
  <c r="N5" i="4"/>
  <c r="O5" i="4" s="1"/>
  <c r="P5" i="4" s="1"/>
  <c r="M23" i="4"/>
  <c r="M81" i="4" s="1"/>
  <c r="M88" i="4" s="1"/>
  <c r="F84" i="4"/>
  <c r="F44" i="4"/>
  <c r="F135" i="4"/>
  <c r="K80" i="4"/>
  <c r="K87" i="4" s="1"/>
  <c r="K73" i="4"/>
  <c r="N23" i="4"/>
  <c r="N81" i="4" s="1"/>
  <c r="N88" i="4" s="1"/>
  <c r="L25" i="4"/>
  <c r="L83" i="4" s="1"/>
  <c r="N84" i="4"/>
  <c r="N44" i="4"/>
  <c r="D85" i="4"/>
  <c r="H73" i="4"/>
  <c r="H80" i="4"/>
  <c r="H87" i="4" s="1"/>
  <c r="P73" i="4"/>
  <c r="P80" i="4"/>
  <c r="P87" i="4" s="1"/>
  <c r="G84" i="4"/>
  <c r="G44" i="4"/>
  <c r="K84" i="4"/>
  <c r="K44" i="4"/>
  <c r="O84" i="4"/>
  <c r="O44" i="4"/>
  <c r="H75" i="4"/>
  <c r="I23" i="4"/>
  <c r="I81" i="4" s="1"/>
  <c r="I88" i="4" s="1"/>
  <c r="L24" i="4"/>
  <c r="L82" i="4" s="1"/>
  <c r="L89" i="4" s="1"/>
  <c r="O25" i="4"/>
  <c r="O83" i="4" s="1"/>
  <c r="J44" i="4"/>
  <c r="E44" i="4"/>
  <c r="E40" i="4"/>
  <c r="E98" i="4" s="1"/>
  <c r="I44" i="4"/>
  <c r="I40" i="4"/>
  <c r="I134" i="4" s="1"/>
  <c r="M44" i="4"/>
  <c r="M40" i="4"/>
  <c r="M134" i="4" s="1"/>
  <c r="H44" i="4"/>
  <c r="K45" i="4"/>
  <c r="E80" i="4"/>
  <c r="E73" i="4"/>
  <c r="I80" i="4"/>
  <c r="I87" i="4" s="1"/>
  <c r="I73" i="4"/>
  <c r="M80" i="4"/>
  <c r="M87" i="4" s="1"/>
  <c r="M73" i="4"/>
  <c r="J73" i="4"/>
  <c r="J80" i="4"/>
  <c r="J87" i="4" s="1"/>
  <c r="L80" i="4"/>
  <c r="L87" i="4" s="1"/>
  <c r="J23" i="4"/>
  <c r="J81" i="4" s="1"/>
  <c r="J88" i="4" s="1"/>
  <c r="E24" i="4"/>
  <c r="E82" i="4" s="1"/>
  <c r="M24" i="4"/>
  <c r="M82" i="4" s="1"/>
  <c r="M89" i="4" s="1"/>
  <c r="H25" i="4"/>
  <c r="H43" i="4" s="1"/>
  <c r="P25" i="4"/>
  <c r="P43" i="4" s="1"/>
  <c r="E28" i="4"/>
  <c r="D37" i="4"/>
  <c r="H45" i="4"/>
  <c r="L45" i="4"/>
  <c r="P45" i="4"/>
  <c r="G45" i="4"/>
  <c r="M45" i="4"/>
  <c r="I55" i="4"/>
  <c r="I95" i="4" s="1"/>
  <c r="F73" i="4"/>
  <c r="F80" i="4"/>
  <c r="F87" i="4" s="1"/>
  <c r="D61" i="4"/>
  <c r="D64" i="4"/>
  <c r="P82" i="4"/>
  <c r="P89" i="4" s="1"/>
  <c r="E135" i="4"/>
  <c r="G74" i="4"/>
  <c r="O74" i="4"/>
  <c r="G23" i="4"/>
  <c r="G81" i="4" s="1"/>
  <c r="G88" i="4" s="1"/>
  <c r="K23" i="4"/>
  <c r="K81" i="4" s="1"/>
  <c r="K88" i="4" s="1"/>
  <c r="O23" i="4"/>
  <c r="O81" i="4" s="1"/>
  <c r="O88" i="4" s="1"/>
  <c r="F24" i="4"/>
  <c r="F82" i="4" s="1"/>
  <c r="F89" i="4" s="1"/>
  <c r="J24" i="4"/>
  <c r="J82" i="4" s="1"/>
  <c r="J89" i="4" s="1"/>
  <c r="N24" i="4"/>
  <c r="N82" i="4" s="1"/>
  <c r="N89" i="4" s="1"/>
  <c r="E25" i="4"/>
  <c r="E83" i="4" s="1"/>
  <c r="I25" i="4"/>
  <c r="I83" i="4" s="1"/>
  <c r="M25" i="4"/>
  <c r="M83" i="4" s="1"/>
  <c r="E42" i="4"/>
  <c r="P44" i="4"/>
  <c r="I45" i="4"/>
  <c r="E55" i="4"/>
  <c r="E93" i="4" s="1"/>
  <c r="P55" i="4"/>
  <c r="P95" i="4" s="1"/>
  <c r="K55" i="4"/>
  <c r="K93" i="4" s="1"/>
  <c r="O55" i="4"/>
  <c r="O93" i="4" s="1"/>
  <c r="G57" i="4"/>
  <c r="D57" i="4" s="1"/>
  <c r="I82" i="4"/>
  <c r="I89" i="4" s="1"/>
  <c r="D65" i="4"/>
  <c r="N74" i="4"/>
  <c r="H74" i="4"/>
  <c r="L74" i="4"/>
  <c r="P74" i="4"/>
  <c r="G75" i="4"/>
  <c r="K75" i="4"/>
  <c r="O75" i="4"/>
  <c r="F21" i="4"/>
  <c r="H23" i="4"/>
  <c r="H81" i="4" s="1"/>
  <c r="H88" i="4" s="1"/>
  <c r="L23" i="4"/>
  <c r="L81" i="4" s="1"/>
  <c r="L88" i="4" s="1"/>
  <c r="P23" i="4"/>
  <c r="P81" i="4" s="1"/>
  <c r="P88" i="4" s="1"/>
  <c r="G24" i="4"/>
  <c r="G82" i="4" s="1"/>
  <c r="G89" i="4" s="1"/>
  <c r="K24" i="4"/>
  <c r="K82" i="4" s="1"/>
  <c r="K89" i="4" s="1"/>
  <c r="O24" i="4"/>
  <c r="O82" i="4" s="1"/>
  <c r="O89" i="4" s="1"/>
  <c r="F25" i="4"/>
  <c r="F83" i="4" s="1"/>
  <c r="J25" i="4"/>
  <c r="J83" i="4" s="1"/>
  <c r="N25" i="4"/>
  <c r="N43" i="4" s="1"/>
  <c r="D36" i="4"/>
  <c r="E45" i="4"/>
  <c r="L55" i="4"/>
  <c r="D56" i="4"/>
  <c r="N73" i="4"/>
  <c r="N80" i="4"/>
  <c r="N87" i="4" s="1"/>
  <c r="O73" i="4"/>
  <c r="K90" i="15" l="1"/>
  <c r="K80" i="15"/>
  <c r="K82" i="15"/>
  <c r="K102" i="15"/>
  <c r="K69" i="15"/>
  <c r="G67" i="15"/>
  <c r="K68" i="15"/>
  <c r="K70" i="15"/>
  <c r="K71" i="15"/>
  <c r="K62" i="15"/>
  <c r="K60" i="15" s="1"/>
  <c r="D35" i="4"/>
  <c r="F97" i="4"/>
  <c r="L98" i="4"/>
  <c r="I98" i="4"/>
  <c r="L39" i="4"/>
  <c r="L133" i="4" s="1"/>
  <c r="N83" i="4"/>
  <c r="M98" i="4"/>
  <c r="P83" i="4"/>
  <c r="H83" i="4"/>
  <c r="N97" i="4"/>
  <c r="P97" i="4"/>
  <c r="N92" i="4"/>
  <c r="K43" i="4"/>
  <c r="O135" i="4"/>
  <c r="O99" i="4"/>
  <c r="L135" i="4"/>
  <c r="L99" i="4"/>
  <c r="J135" i="4"/>
  <c r="J99" i="4"/>
  <c r="H135" i="4"/>
  <c r="H99" i="4"/>
  <c r="P135" i="4"/>
  <c r="P99" i="4"/>
  <c r="L92" i="4"/>
  <c r="L43" i="4"/>
  <c r="J92" i="4"/>
  <c r="M95" i="4"/>
  <c r="J94" i="4"/>
  <c r="F43" i="4"/>
  <c r="N95" i="4"/>
  <c r="N93" i="4"/>
  <c r="H133" i="4"/>
  <c r="H93" i="4"/>
  <c r="H95" i="4"/>
  <c r="G95" i="4"/>
  <c r="E95" i="4"/>
  <c r="E92" i="4"/>
  <c r="D33" i="4"/>
  <c r="G93" i="4"/>
  <c r="G43" i="4"/>
  <c r="F95" i="4"/>
  <c r="M133" i="4"/>
  <c r="J93" i="4"/>
  <c r="I93" i="4"/>
  <c r="L95" i="4"/>
  <c r="H92" i="4"/>
  <c r="K133" i="4"/>
  <c r="D75" i="4"/>
  <c r="P133" i="4"/>
  <c r="J133" i="4"/>
  <c r="I43" i="4"/>
  <c r="O43" i="4"/>
  <c r="K57" i="15"/>
  <c r="F93" i="4"/>
  <c r="D76" i="4"/>
  <c r="M93" i="4"/>
  <c r="I94" i="4"/>
  <c r="E133" i="4"/>
  <c r="M92" i="4"/>
  <c r="D74" i="4"/>
  <c r="G133" i="4"/>
  <c r="D84" i="4"/>
  <c r="K56" i="15"/>
  <c r="F92" i="4"/>
  <c r="J43" i="4"/>
  <c r="P93" i="4"/>
  <c r="E89" i="4"/>
  <c r="D89" i="4" s="1"/>
  <c r="D82" i="4"/>
  <c r="F79" i="4"/>
  <c r="F42" i="4"/>
  <c r="F28" i="4"/>
  <c r="G21" i="4"/>
  <c r="E43" i="4"/>
  <c r="N133" i="4"/>
  <c r="F133" i="4"/>
  <c r="E134" i="4"/>
  <c r="D134" i="4" s="1"/>
  <c r="D40" i="4"/>
  <c r="K95" i="4"/>
  <c r="E88" i="4"/>
  <c r="D88" i="4" s="1"/>
  <c r="D81" i="4"/>
  <c r="E86" i="4"/>
  <c r="E90" i="4" s="1"/>
  <c r="E46" i="4"/>
  <c r="I133" i="4"/>
  <c r="O92" i="4"/>
  <c r="O133" i="4"/>
  <c r="P92" i="4"/>
  <c r="L94" i="4"/>
  <c r="E87" i="4"/>
  <c r="D44" i="4"/>
  <c r="O95" i="4"/>
  <c r="K94" i="4"/>
  <c r="G92" i="4"/>
  <c r="D45" i="4"/>
  <c r="M43" i="4"/>
  <c r="G80" i="4"/>
  <c r="G87" i="4" s="1"/>
  <c r="G73" i="4"/>
  <c r="D73" i="4" s="1"/>
  <c r="D55" i="4"/>
  <c r="I92" i="4"/>
  <c r="E94" i="4"/>
  <c r="P94" i="4"/>
  <c r="L93" i="4"/>
  <c r="D41" i="4"/>
  <c r="O94" i="4"/>
  <c r="K92" i="4"/>
  <c r="K55" i="15" l="1"/>
  <c r="K67" i="15"/>
  <c r="C67" i="15" s="1"/>
  <c r="K7" i="15" s="1"/>
  <c r="K76" i="15"/>
  <c r="K77" i="15"/>
  <c r="G73" i="15"/>
  <c r="G72" i="15" s="1"/>
  <c r="D135" i="4"/>
  <c r="L97" i="4"/>
  <c r="O97" i="4"/>
  <c r="D12" i="4"/>
  <c r="D98" i="4"/>
  <c r="D13" i="4"/>
  <c r="D99" i="4"/>
  <c r="D19" i="4"/>
  <c r="D20" i="4"/>
  <c r="D11" i="4"/>
  <c r="D10" i="4" s="1"/>
  <c r="D80" i="4"/>
  <c r="D39" i="4"/>
  <c r="D18" i="4" s="1"/>
  <c r="D87" i="4"/>
  <c r="E91" i="4"/>
  <c r="E47" i="4"/>
  <c r="D43" i="4"/>
  <c r="G79" i="4"/>
  <c r="G42" i="4"/>
  <c r="G28" i="4"/>
  <c r="H21" i="4"/>
  <c r="D133" i="4"/>
  <c r="F86" i="4"/>
  <c r="F90" i="4" s="1"/>
  <c r="F91" i="4" s="1"/>
  <c r="F30" i="4" s="1"/>
  <c r="F46" i="4"/>
  <c r="F47" i="4" s="1"/>
  <c r="F29" i="4" s="1"/>
  <c r="D93" i="4"/>
  <c r="D54" i="4"/>
  <c r="D94" i="4"/>
  <c r="D92" i="4"/>
  <c r="D95" i="4"/>
  <c r="D83" i="4"/>
  <c r="F29" i="5" l="1"/>
  <c r="G7" i="15"/>
  <c r="G34" i="15" s="1"/>
  <c r="K73" i="15"/>
  <c r="K72" i="15" s="1"/>
  <c r="K75" i="15"/>
  <c r="K123" i="15"/>
  <c r="K111" i="15"/>
  <c r="K32" i="15"/>
  <c r="G111" i="15"/>
  <c r="K114" i="15"/>
  <c r="D27" i="4"/>
  <c r="D9" i="4"/>
  <c r="D97" i="4"/>
  <c r="G120" i="15"/>
  <c r="K120" i="15"/>
  <c r="D8" i="4"/>
  <c r="K117" i="15"/>
  <c r="K124" i="15"/>
  <c r="K121" i="15"/>
  <c r="G121" i="15"/>
  <c r="D26" i="4"/>
  <c r="K113" i="15"/>
  <c r="K110" i="15"/>
  <c r="G110" i="15"/>
  <c r="K42" i="15"/>
  <c r="K40" i="15"/>
  <c r="K34" i="15"/>
  <c r="K20" i="15"/>
  <c r="K15" i="15"/>
  <c r="H79" i="4"/>
  <c r="I21" i="4"/>
  <c r="H42" i="4"/>
  <c r="H28" i="4"/>
  <c r="E30" i="4"/>
  <c r="G86" i="4"/>
  <c r="G90" i="4" s="1"/>
  <c r="G91" i="4" s="1"/>
  <c r="G30" i="4" s="1"/>
  <c r="G46" i="4"/>
  <c r="G47" i="4" s="1"/>
  <c r="G29" i="4" s="1"/>
  <c r="E29" i="4"/>
  <c r="G15" i="15" l="1"/>
  <c r="G42" i="15"/>
  <c r="G40" i="15"/>
  <c r="G20" i="15"/>
  <c r="G32" i="15"/>
  <c r="D7" i="4"/>
  <c r="D23" i="4"/>
  <c r="D22" i="4"/>
  <c r="D24" i="4"/>
  <c r="K118" i="15"/>
  <c r="G119" i="15"/>
  <c r="K119" i="15"/>
  <c r="K128" i="15"/>
  <c r="K142" i="15"/>
  <c r="K143" i="15" s="1"/>
  <c r="K144" i="15" s="1"/>
  <c r="J21" i="4"/>
  <c r="I42" i="4"/>
  <c r="I28" i="4"/>
  <c r="I79" i="4"/>
  <c r="H86" i="4"/>
  <c r="H46" i="4"/>
  <c r="C20" i="15" l="1"/>
  <c r="G128" i="15"/>
  <c r="G142" i="15"/>
  <c r="G143" i="15" s="1"/>
  <c r="G144" i="15" s="1"/>
  <c r="G39" i="15"/>
  <c r="G41" i="15" s="1"/>
  <c r="K109" i="15"/>
  <c r="D25" i="4"/>
  <c r="G109" i="15"/>
  <c r="H90" i="4"/>
  <c r="I86" i="4"/>
  <c r="I90" i="4" s="1"/>
  <c r="I91" i="4" s="1"/>
  <c r="I30" i="4" s="1"/>
  <c r="I46" i="4"/>
  <c r="I47" i="4" s="1"/>
  <c r="I29" i="4" s="1"/>
  <c r="H47" i="4"/>
  <c r="J79" i="4"/>
  <c r="J42" i="4"/>
  <c r="J28" i="4"/>
  <c r="K21" i="4"/>
  <c r="G37" i="15" l="1"/>
  <c r="G36" i="15" s="1"/>
  <c r="K42" i="4"/>
  <c r="K79" i="4"/>
  <c r="K28" i="4"/>
  <c r="L21" i="4"/>
  <c r="J86" i="4"/>
  <c r="J46" i="4"/>
  <c r="J47" i="4" s="1"/>
  <c r="J29" i="4" s="1"/>
  <c r="H29" i="4"/>
  <c r="H91" i="4"/>
  <c r="G94" i="15" l="1"/>
  <c r="G35" i="15"/>
  <c r="K86" i="4"/>
  <c r="K90" i="4" s="1"/>
  <c r="K91" i="4" s="1"/>
  <c r="K30" i="4" s="1"/>
  <c r="K46" i="4"/>
  <c r="K47" i="4" s="1"/>
  <c r="K29" i="4" s="1"/>
  <c r="L79" i="4"/>
  <c r="L42" i="4"/>
  <c r="M21" i="4"/>
  <c r="L28" i="4"/>
  <c r="H30" i="4"/>
  <c r="J90" i="4"/>
  <c r="J91" i="4" s="1"/>
  <c r="J30" i="4" s="1"/>
  <c r="G99" i="15" l="1"/>
  <c r="L86" i="4"/>
  <c r="L90" i="4" s="1"/>
  <c r="L91" i="4" s="1"/>
  <c r="L46" i="4"/>
  <c r="L47" i="4" s="1"/>
  <c r="L29" i="4" s="1"/>
  <c r="N21" i="4"/>
  <c r="M79" i="4"/>
  <c r="M28" i="4"/>
  <c r="M42" i="4"/>
  <c r="M86" i="4" l="1"/>
  <c r="M90" i="4" s="1"/>
  <c r="M91" i="4" s="1"/>
  <c r="M30" i="4" s="1"/>
  <c r="M46" i="4"/>
  <c r="M47" i="4" s="1"/>
  <c r="M29" i="4" s="1"/>
  <c r="N79" i="4"/>
  <c r="N28" i="4"/>
  <c r="N42" i="4"/>
  <c r="O21" i="4"/>
  <c r="L30" i="4"/>
  <c r="N86" i="4" l="1"/>
  <c r="N90" i="4" s="1"/>
  <c r="N91" i="4" s="1"/>
  <c r="N46" i="4"/>
  <c r="N47" i="4" s="1"/>
  <c r="N29" i="4" s="1"/>
  <c r="O79" i="4"/>
  <c r="O42" i="4"/>
  <c r="O28" i="4"/>
  <c r="P21" i="4"/>
  <c r="P79" i="4" l="1"/>
  <c r="D79" i="4" s="1"/>
  <c r="P42" i="4"/>
  <c r="D42" i="4" s="1"/>
  <c r="P28" i="4"/>
  <c r="O86" i="4"/>
  <c r="O90" i="4" s="1"/>
  <c r="O91" i="4" s="1"/>
  <c r="O30" i="4" s="1"/>
  <c r="O46" i="4"/>
  <c r="O47" i="4" s="1"/>
  <c r="O29" i="4" s="1"/>
  <c r="N30" i="4"/>
  <c r="P86" i="4" l="1"/>
  <c r="P46" i="4"/>
  <c r="P47" i="4" l="1"/>
  <c r="D46" i="4"/>
  <c r="P90" i="4"/>
  <c r="D86" i="4"/>
  <c r="P91" i="4" l="1"/>
  <c r="D90" i="4"/>
  <c r="P29" i="4"/>
  <c r="D47" i="4"/>
  <c r="K78" i="15" l="1"/>
  <c r="K74" i="15" s="1"/>
  <c r="K79" i="15" s="1"/>
  <c r="D29" i="4"/>
  <c r="G74" i="15"/>
  <c r="G11" i="15"/>
  <c r="P30" i="4"/>
  <c r="D91" i="4"/>
  <c r="K83" i="15" l="1"/>
  <c r="D126" i="4"/>
  <c r="G104" i="15"/>
  <c r="C74" i="15"/>
  <c r="G79" i="15"/>
  <c r="K11" i="15"/>
  <c r="C11" i="15" s="1"/>
  <c r="G115" i="15"/>
  <c r="K115" i="15"/>
  <c r="D30" i="4"/>
  <c r="K104" i="15" l="1"/>
  <c r="C129" i="15"/>
  <c r="G129" i="15" l="1"/>
  <c r="K129" i="15"/>
  <c r="H18" i="5"/>
  <c r="C10" i="15" l="1"/>
  <c r="G10" i="15" s="1"/>
  <c r="C81" i="5"/>
  <c r="K10" i="15" l="1"/>
  <c r="H81" i="5"/>
  <c r="C22" i="15" l="1"/>
  <c r="G22" i="15" s="1"/>
  <c r="H110" i="5"/>
  <c r="C110" i="5"/>
  <c r="D31" i="15" s="1"/>
  <c r="H105" i="5"/>
  <c r="C105" i="5"/>
  <c r="H79" i="5"/>
  <c r="C79" i="5"/>
  <c r="H77" i="5"/>
  <c r="C77" i="5"/>
  <c r="H75" i="5"/>
  <c r="C75" i="5"/>
  <c r="H69" i="5"/>
  <c r="C69" i="5"/>
  <c r="G68" i="5"/>
  <c r="G113" i="5" s="1"/>
  <c r="F68" i="5"/>
  <c r="F113" i="5" s="1"/>
  <c r="H38" i="5"/>
  <c r="C38" i="5"/>
  <c r="H36" i="5"/>
  <c r="C36" i="5"/>
  <c r="H34" i="5"/>
  <c r="C34" i="5"/>
  <c r="H32" i="5"/>
  <c r="C32" i="5"/>
  <c r="H30" i="5"/>
  <c r="C30" i="5"/>
  <c r="C28" i="5"/>
  <c r="C18" i="5"/>
  <c r="H7" i="5"/>
  <c r="C7" i="5"/>
  <c r="K22" i="15" l="1"/>
  <c r="D30" i="15"/>
  <c r="D29" i="15" s="1"/>
  <c r="D33" i="15" s="1"/>
  <c r="C12" i="15"/>
  <c r="K12" i="15" s="1"/>
  <c r="C14" i="15"/>
  <c r="C16" i="15"/>
  <c r="K16" i="15" s="1"/>
  <c r="C18" i="15"/>
  <c r="G18" i="15" s="1"/>
  <c r="C21" i="15"/>
  <c r="C31" i="15"/>
  <c r="G31" i="15" s="1"/>
  <c r="C9" i="15"/>
  <c r="K9" i="15" s="1"/>
  <c r="C30" i="15"/>
  <c r="C68" i="5"/>
  <c r="G21" i="15"/>
  <c r="C104" i="5"/>
  <c r="H104" i="5"/>
  <c r="H68" i="5"/>
  <c r="C6" i="5"/>
  <c r="C113" i="5" l="1"/>
  <c r="K31" i="15"/>
  <c r="C29" i="15"/>
  <c r="K21" i="15"/>
  <c r="G12" i="15"/>
  <c r="C17" i="15"/>
  <c r="K18" i="15"/>
  <c r="G16" i="15"/>
  <c r="G14" i="15"/>
  <c r="K14" i="15"/>
  <c r="K8" i="15" s="1"/>
  <c r="C8" i="15"/>
  <c r="G9" i="15"/>
  <c r="G30" i="15"/>
  <c r="G29" i="15" s="1"/>
  <c r="K30" i="15"/>
  <c r="K29" i="15" s="1"/>
  <c r="G17" i="15"/>
  <c r="C33" i="15" l="1"/>
  <c r="K17" i="15"/>
  <c r="K33" i="15" s="1"/>
  <c r="K84" i="15" s="1"/>
  <c r="G8" i="15"/>
  <c r="G33" i="15" s="1"/>
  <c r="D84" i="15"/>
  <c r="D44" i="15"/>
  <c r="D54" i="15"/>
  <c r="D59" i="15"/>
  <c r="P74" i="10"/>
  <c r="O74" i="10"/>
  <c r="G1" i="15" l="1"/>
  <c r="G44" i="15"/>
  <c r="G49" i="15" s="1"/>
  <c r="K54" i="15"/>
  <c r="D89" i="15"/>
  <c r="K85" i="15"/>
  <c r="K95" i="15" s="1"/>
  <c r="K87" i="15"/>
  <c r="K97" i="15" s="1"/>
  <c r="K86" i="15"/>
  <c r="K96" i="15" s="1"/>
  <c r="K89" i="15"/>
  <c r="K88" i="15"/>
  <c r="D49" i="15"/>
  <c r="G84" i="15"/>
  <c r="G59" i="15"/>
  <c r="G54" i="15"/>
  <c r="H29" i="5"/>
  <c r="K98" i="15" l="1"/>
  <c r="K93" i="15"/>
  <c r="C84" i="15"/>
  <c r="G89" i="15"/>
  <c r="H28" i="5"/>
  <c r="G29" i="5"/>
  <c r="K103" i="15" l="1"/>
  <c r="K53" i="15" s="1"/>
  <c r="K43" i="15"/>
  <c r="H6" i="5"/>
  <c r="H113" i="5" s="1"/>
  <c r="K58" i="15"/>
  <c r="C43" i="15" l="1"/>
  <c r="C39" i="15" s="1"/>
  <c r="C41" i="15" s="1"/>
  <c r="K39" i="15"/>
  <c r="K48" i="15"/>
  <c r="K52" i="15"/>
  <c r="K47" i="15" s="1"/>
  <c r="K51" i="15"/>
  <c r="K46" i="15" s="1"/>
  <c r="K50" i="15"/>
  <c r="K45" i="15" s="1"/>
  <c r="K37" i="15" l="1"/>
  <c r="K41" i="15"/>
  <c r="K36" i="15" l="1"/>
  <c r="C37" i="15"/>
  <c r="C36" i="15" s="1"/>
  <c r="C44" i="15" l="1"/>
  <c r="C59" i="15"/>
  <c r="C35" i="15"/>
  <c r="K35" i="15"/>
  <c r="K44" i="15"/>
  <c r="K49" i="15" s="1"/>
  <c r="K59" i="15"/>
  <c r="K94" i="15"/>
  <c r="K99" i="15" l="1"/>
  <c r="C94" i="15"/>
</calcChain>
</file>

<file path=xl/comments1.xml><?xml version="1.0" encoding="utf-8"?>
<comments xmlns="http://schemas.openxmlformats.org/spreadsheetml/2006/main">
  <authors>
    <author>Александр</author>
  </authors>
  <commentList>
    <comment ref="C4" authorId="0">
      <text>
        <r>
          <rPr>
            <sz val="9"/>
            <color indexed="81"/>
            <rFont val="Tahoma"/>
            <family val="2"/>
            <charset val="204"/>
          </rPr>
          <t xml:space="preserve">Витрати повинні відповідати Додатку 4
</t>
        </r>
      </text>
    </comment>
    <comment ref="C129" authorId="0">
      <text>
        <r>
          <rPr>
            <b/>
            <sz val="9"/>
            <color indexed="81"/>
            <rFont val="Tahoma"/>
            <family val="2"/>
            <charset val="204"/>
          </rPr>
          <t>Витрати повинні відповідати Додотку 4</t>
        </r>
      </text>
    </comment>
  </commentList>
</comments>
</file>

<file path=xl/comments2.xml><?xml version="1.0" encoding="utf-8"?>
<comments xmlns="http://schemas.openxmlformats.org/spreadsheetml/2006/main">
  <authors>
    <author>Schigoleva Marina</author>
    <author>operator</author>
  </authors>
  <commentList>
    <comment ref="B19" authorId="0">
      <text>
        <r>
          <rPr>
            <b/>
            <sz val="9"/>
            <color indexed="81"/>
            <rFont val="Tahoma"/>
            <family val="2"/>
            <charset val="204"/>
          </rPr>
          <t>Schigoleva Marina:</t>
        </r>
        <r>
          <rPr>
            <sz val="9"/>
            <color indexed="81"/>
            <rFont val="Tahoma"/>
            <family val="2"/>
            <charset val="204"/>
          </rPr>
          <t xml:space="preserve">
шары</t>
        </r>
      </text>
    </comment>
    <comment ref="B27" authorId="0">
      <text>
        <r>
          <rPr>
            <b/>
            <sz val="9"/>
            <color indexed="81"/>
            <rFont val="Tahoma"/>
            <family val="2"/>
            <charset val="204"/>
          </rPr>
          <t>Schigoleva Marina:</t>
        </r>
        <r>
          <rPr>
            <sz val="9"/>
            <color indexed="81"/>
            <rFont val="Tahoma"/>
            <family val="2"/>
            <charset val="204"/>
          </rPr>
          <t xml:space="preserve">
канц
</t>
        </r>
      </text>
    </comment>
    <comment ref="D39" authorId="0">
      <text>
        <r>
          <rPr>
            <b/>
            <sz val="9"/>
            <color indexed="81"/>
            <rFont val="Tahoma"/>
            <family val="2"/>
            <charset val="204"/>
          </rPr>
          <t>Schigoleva Marina:</t>
        </r>
        <r>
          <rPr>
            <sz val="9"/>
            <color indexed="81"/>
            <rFont val="Tahoma"/>
            <family val="2"/>
            <charset val="204"/>
          </rPr>
          <t xml:space="preserve">
2,0- лиценз на тэ</t>
        </r>
      </text>
    </comment>
    <comment ref="H39" authorId="0">
      <text>
        <r>
          <rPr>
            <b/>
            <sz val="9"/>
            <color indexed="81"/>
            <rFont val="Tahoma"/>
            <family val="2"/>
            <charset val="204"/>
          </rPr>
          <t>Schigoleva Marina:</t>
        </r>
        <r>
          <rPr>
            <sz val="9"/>
            <color indexed="81"/>
            <rFont val="Tahoma"/>
            <family val="2"/>
            <charset val="204"/>
          </rPr>
          <t xml:space="preserve">
2,0- лиценз на тэ</t>
        </r>
      </text>
    </comment>
    <comment ref="C67" authorId="1">
      <text>
        <r>
          <rPr>
            <b/>
            <sz val="9"/>
            <color indexed="81"/>
            <rFont val="Tahoma"/>
            <family val="2"/>
            <charset val="204"/>
          </rPr>
          <t>operator:</t>
        </r>
        <r>
          <rPr>
            <sz val="9"/>
            <color indexed="81"/>
            <rFont val="Tahoma"/>
            <family val="2"/>
            <charset val="204"/>
          </rPr>
          <t xml:space="preserve">
т/о автом, прогр зап, загальновир., утрим. Приміщ
</t>
        </r>
      </text>
    </comment>
    <comment ref="C94" authorId="1">
      <text>
        <r>
          <rPr>
            <b/>
            <sz val="9"/>
            <color indexed="81"/>
            <rFont val="Tahoma"/>
            <family val="2"/>
            <charset val="204"/>
          </rPr>
          <t>operator:</t>
        </r>
        <r>
          <rPr>
            <sz val="9"/>
            <color indexed="81"/>
            <rFont val="Tahoma"/>
            <family val="2"/>
            <charset val="204"/>
          </rPr>
          <t xml:space="preserve">
професійні, судові, т/о пож сигналіз
</t>
        </r>
      </text>
    </comment>
  </commentList>
</comments>
</file>

<file path=xl/sharedStrings.xml><?xml version="1.0" encoding="utf-8"?>
<sst xmlns="http://schemas.openxmlformats.org/spreadsheetml/2006/main" count="1387" uniqueCount="444">
  <si>
    <t xml:space="preserve">Виробнича собiвартiсть, у т.ч.: </t>
  </si>
  <si>
    <t>тис. грн</t>
  </si>
  <si>
    <t xml:space="preserve">          виробничі послуги</t>
  </si>
  <si>
    <t xml:space="preserve">          сировина і допоміжні матеріали</t>
  </si>
  <si>
    <t xml:space="preserve">          паливо </t>
  </si>
  <si>
    <t xml:space="preserve">          витрати на оплату праці</t>
  </si>
  <si>
    <t xml:space="preserve">          єдиний внесок на загальнообов'язкове   державне соціальне страхування</t>
  </si>
  <si>
    <t xml:space="preserve">          амортизаційні відрахування</t>
  </si>
  <si>
    <t xml:space="preserve">          інші витрати </t>
  </si>
  <si>
    <t xml:space="preserve">Адміністративні витрати, у т.ч.: </t>
  </si>
  <si>
    <t xml:space="preserve">          матеріальні витрати </t>
  </si>
  <si>
    <t xml:space="preserve">          єдиний внесок на загальнообов'язкове державне соціальне страхування</t>
  </si>
  <si>
    <t xml:space="preserve">          інші витрати</t>
  </si>
  <si>
    <t>Інші операційні витрати, у т.ч.:</t>
  </si>
  <si>
    <t xml:space="preserve">          на дослідження і розробку</t>
  </si>
  <si>
    <t xml:space="preserve">          на соціальний розвиток</t>
  </si>
  <si>
    <t xml:space="preserve">          інші</t>
  </si>
  <si>
    <t>Податок на прибуток</t>
  </si>
  <si>
    <t>Нерозподілений прибуток, у т.ч.:</t>
  </si>
  <si>
    <t xml:space="preserve">          резервний капітал</t>
  </si>
  <si>
    <t xml:space="preserve">          інше використання прибутку</t>
  </si>
  <si>
    <t>Рентабельність</t>
  </si>
  <si>
    <t>%</t>
  </si>
  <si>
    <t>Чисельність персоналу</t>
  </si>
  <si>
    <t>осіб</t>
  </si>
  <si>
    <t>(підпис)</t>
  </si>
  <si>
    <t>М.П.</t>
  </si>
  <si>
    <t>(ініціали, прізвище)</t>
  </si>
  <si>
    <t>Найменування  показників</t>
  </si>
  <si>
    <t>Електроенергія</t>
  </si>
  <si>
    <t>Теплоенергія</t>
  </si>
  <si>
    <t>Інші (% за кредит)</t>
  </si>
  <si>
    <t>Всього витрат</t>
  </si>
  <si>
    <t>Фінансові результати від операційної діяльності</t>
  </si>
  <si>
    <t>Фінансові результати від звичайної діяльності</t>
  </si>
  <si>
    <t>х</t>
  </si>
  <si>
    <t>Тариф на т/е для населення</t>
  </si>
  <si>
    <t>грн/Гкал</t>
  </si>
  <si>
    <t>Тариф на т/е для релігійних організацій</t>
  </si>
  <si>
    <t>Собівартість середня</t>
  </si>
  <si>
    <t xml:space="preserve">грн/Гкал   </t>
  </si>
  <si>
    <t xml:space="preserve">Ціна 1 тони умовного палива </t>
  </si>
  <si>
    <t>грн</t>
  </si>
  <si>
    <t>Ціна натурального палива,  у т.ч.:</t>
  </si>
  <si>
    <t xml:space="preserve">       Вугілля за 1 т</t>
  </si>
  <si>
    <t xml:space="preserve">       Мазут за 1 т</t>
  </si>
  <si>
    <t xml:space="preserve">       Вугілля (для населення) за 1 т</t>
  </si>
  <si>
    <t xml:space="preserve">       Мазут (для населення) за 1 т</t>
  </si>
  <si>
    <t>Витрати на ремонтне обслуговування</t>
  </si>
  <si>
    <t>Перевідний коефіцієнт</t>
  </si>
  <si>
    <t xml:space="preserve">       Газ комунальний</t>
  </si>
  <si>
    <t xml:space="preserve">       Газ промисловий (релігійний)</t>
  </si>
  <si>
    <t xml:space="preserve">       Вугілля</t>
  </si>
  <si>
    <t xml:space="preserve">       Мазут</t>
  </si>
  <si>
    <t xml:space="preserve">       Газ промисловий додатковий</t>
  </si>
  <si>
    <t xml:space="preserve">       Вугілля (для населення)</t>
  </si>
  <si>
    <t xml:space="preserve">       Мазут (для населення)</t>
  </si>
  <si>
    <t>Встановлена потужність</t>
  </si>
  <si>
    <t>МВт, Гкал/год</t>
  </si>
  <si>
    <t>Витрати на сплату податків та зборів</t>
  </si>
  <si>
    <t>базовий період</t>
  </si>
  <si>
    <t>плановий період</t>
  </si>
  <si>
    <t xml:space="preserve">          енергія зі сторони</t>
  </si>
  <si>
    <t xml:space="preserve">          відсоток податку на прибуток</t>
  </si>
  <si>
    <t xml:space="preserve">                    відсоток дивідентів</t>
  </si>
  <si>
    <t xml:space="preserve">          дивіденди</t>
  </si>
  <si>
    <t>Тариф на е/е та (або) на т/е(середній)</t>
  </si>
  <si>
    <t>Виробництво електричної енергії та (або) теплової енергії</t>
  </si>
  <si>
    <t>Середня заробітна плата</t>
  </si>
  <si>
    <t>Відсоток заробітної плати адмінперсоналу</t>
  </si>
  <si>
    <t xml:space="preserve">Витрати електричної енергії на власні потреби </t>
  </si>
  <si>
    <t>Корисний відпуск електричної та (або) теплової енергії</t>
  </si>
  <si>
    <t>Витрати умовного палива на виробництво електричної енергії та (або) теплової енергії</t>
  </si>
  <si>
    <t>е/е енергопостачальним компаніям / т/е для рілігійних організацій</t>
  </si>
  <si>
    <t>е/е в ОРЕ / т/е для населення</t>
  </si>
  <si>
    <t>на виробництво т/е для населення</t>
  </si>
  <si>
    <t>на виробництво т/е для рілігійних організацій</t>
  </si>
  <si>
    <t>тис.грн</t>
  </si>
  <si>
    <t xml:space="preserve">коп/кВт∙г, грн/Гкал   </t>
  </si>
  <si>
    <t>млн.кВт∙г, тис.Гкал</t>
  </si>
  <si>
    <t>тис.тонн</t>
  </si>
  <si>
    <t>г/кВт∙г, кг/Гкал</t>
  </si>
  <si>
    <t>коп/кВт∙г,
грн/Гкал</t>
  </si>
  <si>
    <t>Паливна складова на виробництво електричної енергії та (або) теплової енергії</t>
  </si>
  <si>
    <t>собівартість т/е для населення</t>
  </si>
  <si>
    <t>собівартість т/е для релігійних організацій</t>
  </si>
  <si>
    <t>Паливна складова на виробництво електричної енергії та (або) теплової енергії (на одиницю продукції)</t>
  </si>
  <si>
    <t>Товарна продукція на виробництво електричної енергії та (або) теплової енергії</t>
  </si>
  <si>
    <t>Товарна продукція на виробництво теплової енергії для населення</t>
  </si>
  <si>
    <t>Товарна продукція на виробництво теплової енергії для рілігійних організацій</t>
  </si>
  <si>
    <t>Умовно-постійні витрати на виробництво електричної енергії та (або) теплової енергії</t>
  </si>
  <si>
    <t>Умовно-постійні витрати на виробництво електричної енергії та (або) теплової енергії (на одиницю продукції)</t>
  </si>
  <si>
    <t>Прибуток на виробництво електричної енергії та (або) теплової енергії</t>
  </si>
  <si>
    <t>Прибуток на виробництво електричної енергії та (або) теплової енергії (на одиницю продукції)</t>
  </si>
  <si>
    <t>Одиниці виміру</t>
  </si>
  <si>
    <t>Всього плановий період</t>
  </si>
  <si>
    <t>Питомі витрати умовного палива на виробництво - нормативні</t>
  </si>
  <si>
    <t>Питомі витрати умовного палива на виробництво - розрахункові</t>
  </si>
  <si>
    <t>Січень</t>
  </si>
  <si>
    <t>Лютий</t>
  </si>
  <si>
    <t>Березень</t>
  </si>
  <si>
    <t>Квітень</t>
  </si>
  <si>
    <t>Травень</t>
  </si>
  <si>
    <t>Червень</t>
  </si>
  <si>
    <t>Липень</t>
  </si>
  <si>
    <t>Серпень</t>
  </si>
  <si>
    <t>Вересень</t>
  </si>
  <si>
    <t>Жовтень</t>
  </si>
  <si>
    <t>Листопад</t>
  </si>
  <si>
    <t>Грудень</t>
  </si>
  <si>
    <t>ккал/кг</t>
  </si>
  <si>
    <t>Ціна умовного 
палива (без ПДВ)</t>
  </si>
  <si>
    <t>Виробництво електричної енергії</t>
  </si>
  <si>
    <t>г/кВт∙год</t>
  </si>
  <si>
    <t>Всього</t>
  </si>
  <si>
    <t>вугілля</t>
  </si>
  <si>
    <t>мазут</t>
  </si>
  <si>
    <t>газ додатковий</t>
  </si>
  <si>
    <t>Витрати натурального палива</t>
  </si>
  <si>
    <t>Вартість палива</t>
  </si>
  <si>
    <t>Виробництво теплової енергії</t>
  </si>
  <si>
    <t>населення</t>
  </si>
  <si>
    <t>кг/Гкал</t>
  </si>
  <si>
    <t>Витрати умовного палива на виробництво т/е</t>
  </si>
  <si>
    <t>Для населення</t>
  </si>
  <si>
    <t>Для релігійних організацій</t>
  </si>
  <si>
    <t>Всього (Додаток 2)</t>
  </si>
  <si>
    <t>Найменування показників</t>
  </si>
  <si>
    <t>Калорійність палива</t>
  </si>
  <si>
    <t>Природний газ для наданню послуг населенню</t>
  </si>
  <si>
    <t>Природний газ для наданню послуг релігійним організаціям</t>
  </si>
  <si>
    <t>Загальний тариф на транспортування природного газу магістральними та розподільними трубопроводами</t>
  </si>
  <si>
    <t>Вугілля</t>
  </si>
  <si>
    <t>Мазут</t>
  </si>
  <si>
    <t>Газ промисловий додатковий</t>
  </si>
  <si>
    <t>грн/тис.м3</t>
  </si>
  <si>
    <t>грн/т</t>
  </si>
  <si>
    <t>Ціна натурального палива (без ПДВ)</t>
  </si>
  <si>
    <t>грн/туп</t>
  </si>
  <si>
    <t>Всього за 1 туп (для відпуску електричної енергії)</t>
  </si>
  <si>
    <t>Всього за 1 туп (для виробництва теплової енергії)</t>
  </si>
  <si>
    <t>Вугілля без транспортування</t>
  </si>
  <si>
    <t>Вугілля з транспортуванням</t>
  </si>
  <si>
    <t>Витрати умовного палива на відпуск е/е</t>
  </si>
  <si>
    <t>природний газ</t>
  </si>
  <si>
    <r>
      <t>ккал/м</t>
    </r>
    <r>
      <rPr>
        <vertAlign val="superscript"/>
        <sz val="10"/>
        <rFont val="Times New Roman"/>
        <family val="1"/>
        <charset val="204"/>
      </rPr>
      <t>3</t>
    </r>
  </si>
  <si>
    <t>Природний газ</t>
  </si>
  <si>
    <t>Питомі витрати умовного палива на відпуск електричної енергії</t>
  </si>
  <si>
    <t>Всього, у т.ч.</t>
  </si>
  <si>
    <t>Виробництво теплової енергії, у т.ч. для</t>
  </si>
  <si>
    <t>релігійних організацій</t>
  </si>
  <si>
    <t>промислових споживачів</t>
  </si>
  <si>
    <t>Всього, у т.ч. для</t>
  </si>
  <si>
    <t>населення, у т.ч.</t>
  </si>
  <si>
    <t>релігійних організацій, у т.ч.</t>
  </si>
  <si>
    <t>бюджетних організацій</t>
  </si>
  <si>
    <t>Тариф на транспортування вугілля</t>
  </si>
  <si>
    <r>
      <t>млн.м</t>
    </r>
    <r>
      <rPr>
        <vertAlign val="superscript"/>
        <sz val="10"/>
        <rFont val="Times New Roman"/>
        <family val="1"/>
        <charset val="204"/>
      </rPr>
      <t>3</t>
    </r>
  </si>
  <si>
    <t>тис.туп</t>
  </si>
  <si>
    <t>тис.Гкал</t>
  </si>
  <si>
    <t>млн.кВт∙год</t>
  </si>
  <si>
    <t>Відпуск електричної енергії</t>
  </si>
  <si>
    <t>Питомі витрати умовного палива на відпуск теплової енергії</t>
  </si>
  <si>
    <t>Використання палива природний газ на відпуск е/е та виробництво т/е</t>
  </si>
  <si>
    <t>Використання вугілля на відпуск е/е та виробництво т/е</t>
  </si>
  <si>
    <t>Використання мазуту на відпуск е/е та виробництво т/е</t>
  </si>
  <si>
    <t>Використання додаткового газу на відпуск е/е та виробництво т/е</t>
  </si>
  <si>
    <t>Ціна за одиницю, грн</t>
  </si>
  <si>
    <t>канцелярські витрати</t>
  </si>
  <si>
    <t>Кількість, од.</t>
  </si>
  <si>
    <t>Вартість, всього, тис. грн</t>
  </si>
  <si>
    <t>послуги сторонніх організацій, ремонтних підрозділів та інших допоміжних виробництв з ремонту будівель, споруд, устаткування та транспортних засобів</t>
  </si>
  <si>
    <t>транспортні послуги</t>
  </si>
  <si>
    <t>послуги сторонніх організацій за водопостачання та водовідведення</t>
  </si>
  <si>
    <t>послуги спеціалізованих пусконалагоджувальних організацій та інших організацій, які виконують роботи з удосконалення технології та організації виробництва, а також на роботи, пов’язані з перевіркою готовності до введення в дію (пуску) шляхом комплексних випробувань (під навантаженням) устаткування, блоків, окремих агрегатів, підстанцій, ліній електропередачі, теплопередачі а також тих об’єктів, що вводяться в дію після розширення та реконструкції</t>
  </si>
  <si>
    <t>роботи з вивчення можливостей подальшої експлуатації металоконструкцій, кранів, іншого устаткування та споруд, обстеження стану фундаментів будівель, споруд, обладнання і видача рекомендацій щодо їх подальшого використання</t>
  </si>
  <si>
    <t>проведення аналізів і досліджень з метою визначення якості використовуваного палива, матеріалів, води, конденсату, кабелів та іншого устаткування</t>
  </si>
  <si>
    <t>послуги сторонніх організацій за очищення стічних вод</t>
  </si>
  <si>
    <t>послуги з утилізації екологічно небезпечних відходів</t>
  </si>
  <si>
    <t>послуги з метрологічної атестації та повірки приладів</t>
  </si>
  <si>
    <t>інші послуги виробничого характеру</t>
  </si>
  <si>
    <t>вартість матеріалів і комплектуючих виробів, які використовуються в процесі виробництва для забезпечення нормального технологічного процесу, або які витрачаються на господарські потреби (випробування устаткування та споруд, поточні перевірки машин і механізмів, технічний огляд, утримання та експлуатацію устаткування, будівель і споруд та транспортних засобів тощо)</t>
  </si>
  <si>
    <t>вартість покупної води, що використовується на технологічні цілі (для живлення котлів, гідрозоловидалення, гідрозоловловлювання, живлення водопідігрівних установок, для циркуляційного водопостачання, охолодження та іншого устаткування), та витрати на комплексну хімводоочистку</t>
  </si>
  <si>
    <t>вартість допоміжних матеріалів, які витрачаються на утримання та експлуатацію фондів природоохоронного призначення (очисних споруд, уловлювачів, фільтрів, золошлаковідвалів тощо), очищення стічних вод тощо</t>
  </si>
  <si>
    <t>вартість мастил для механізмів з обертовими частинами, вартість турбінного масла для доливання в міжремонтний період до регуляторів турбін і котлів, вартість паливномастильних матеріалів для транспортних засобів</t>
  </si>
  <si>
    <t>вартість трансформаторного масла для силових трансформаторів</t>
  </si>
  <si>
    <t>інші витрати, які безпосередньо пов’язані з придбанням запасів і доведенням їх до стану, в якому вони придатні для використання у запланованих цілях</t>
  </si>
  <si>
    <t>витрати на паливо, що визначається виходячи з планованого обсягу відпуску електричної та (або) теплової енергії відповідно до річного плану виробництва, норм питомих витрат паливно-енергетичних ресурсів, визначених та погоджених в установленому порядку, діючих цін (тарифів) на паливно-енергетичні ресурси, еквівалентів калорійності, визначених умовами договору, сертифікатами постачальників та даних базового періоду</t>
  </si>
  <si>
    <t>витрати на оплату праці (заробітна плата та інші виплати працівникам, безпосередньо залученим до технологічного процесу виробництва електричної та (або) теплової енергії)</t>
  </si>
  <si>
    <t>відрахування на загальнообов’язкове державне соціальне страхування працівників, безпосередньо залучених до технологічного процесу виробництва електричної та (або) теплової енергії)</t>
  </si>
  <si>
    <t>амортизація основних засобів, інших необоротних матеріальних і нематеріальних активів виробничого призначення</t>
  </si>
  <si>
    <t>плата за землю</t>
  </si>
  <si>
    <t>податок з власників транспортних засобів та інших самохідних машин і механізмів</t>
  </si>
  <si>
    <t>збір за забруднення навколишнього природного середовища</t>
  </si>
  <si>
    <t>збір за використання природних ресурсів</t>
  </si>
  <si>
    <t>збір за використання водних ресурсів</t>
  </si>
  <si>
    <t>єдиний збір, що справляється у пунктах пропуску через Державний кордон України</t>
  </si>
  <si>
    <t>портові збори</t>
  </si>
  <si>
    <t>суми податків, зборів та інших передбачених законодавством України платежів, які відносяться на собівартість продукції і сплачуються не залежно від результатів фінансово-господарської діяльності підприємства. Загальнодержавні податки, збори та інші обов’язкові платежі, у т.ч.</t>
  </si>
  <si>
    <t>послуги сторонніх організацій за пожежну, сторожову та воєнізовану охорону та послуги МНС</t>
  </si>
  <si>
    <t>забезпечення санітарно-гігієнічних та інших спеціальних вимог, передбачених правилами технічної експлуатації, нагляду і контролю за діяльністю підприємства у встановленому законодавством порядку, утримання санітарних зон</t>
  </si>
  <si>
    <t>забезпечення правил техніки безпеки праці (витрати на обладнання та утримання загороджень для машин та їх рухомих частин, люків, отворів, сигналізації інших пристроїв некапітального характеру, обладнання робочих місць некапітального характеру)</t>
  </si>
  <si>
    <t>витрати із самостійного зберігання, переробки та захоронення екологічно небезпечних відходів</t>
  </si>
  <si>
    <t>витрати за навчання робітників підприємства, що зайняті на роботах з підвищеною небезпекою, або там, де існує необхідність у професійному відборі – які повинні проходити попереднє спеціальне навчання і один раз на рік перевірку знань відповідних нормативних актів щодо охорони праці. Перелік таких робіт затверджується Державним комітетом України з нагляду за охороною праці</t>
  </si>
  <si>
    <t>витрати підприємства, пов’язані з професійною підготовкою або перепідготовкою фізичних осіб підприємства в Українських закладах освіти, що мають ліцензію та в разі закінчення навчання видають спеціальний документ державного зразка</t>
  </si>
  <si>
    <t>витрати пов’язані з професійною підготовкою, перепідготовкою та підтриманням професійної майстерності працівників підприємства за профілем його діяльності безпосередньо на підприємстві (утримання учбових класів, тренажерних центрів тощо)</t>
  </si>
  <si>
    <t>витрати на придбання типографських бланків, канцелярського приладдя, паперу тощо</t>
  </si>
  <si>
    <t>обов’язкове страхування майна підприємства та цивільної відповідальності власників транспортних засобів, а також окремих категорій працівників, зайнятих у виробництві відповідних видів продукції (робіт послуг) безпосередньо на роботах з підвищеною небезпекою для життя та здоров’я, передбачених законодавством</t>
  </si>
  <si>
    <t>оплата службових відряджень пов’язаних із виробничою діяльністю, у межах передбачених законодавством норм</t>
  </si>
  <si>
    <t>медико-санітарне забезпечення персоналу згідно чинного законодавства</t>
  </si>
  <si>
    <t>витрати на цивільну оборону</t>
  </si>
  <si>
    <t>оплата за використання та обслуговування технічних засобів управління, вузлів зв’язку, засобів охоронної сигналізації тощо</t>
  </si>
  <si>
    <t>витрати на інші потреби, не передбачені попередніми статтями</t>
  </si>
  <si>
    <t>витрати на утримання і експлуатацію основних засобів та інших необоротних матеріальних активів загальногосподарського використання (будівель, споруд, обладнання, машин і інших основних засобів)</t>
  </si>
  <si>
    <t>витрати на опалення, освітлення, водопостачання, водовідведення та інше утримання будівель і службових приміщень загальногосподарського використання</t>
  </si>
  <si>
    <t xml:space="preserve">витрати на оплату праці апарату управління підприємством </t>
  </si>
  <si>
    <t>відрахування на загальнообов’язкове державне соціальне страхування апарату управління підприємством</t>
  </si>
  <si>
    <t>амортизація основних засобів, інших необоротних матеріальних і нематеріальних активів загальногосподарського використання</t>
  </si>
  <si>
    <t>витрати на оплату службових відряджень у межах норм, передбачених законодавством, та службових роз’їздів апарату управління</t>
  </si>
  <si>
    <t>витрати на оплату послуг зв’язку (поштовий, телеграфний, телефонний, телефакс тощо)</t>
  </si>
  <si>
    <t>витрати пов’язані з оплатою послуг комерційних банків та інших кредитно-фінансових установ, включаючи оплату за розрахункове обслуговування</t>
  </si>
  <si>
    <t>оплата вартості ліцензій та інших державних дозволів для ведення господарської діяльності підприємства</t>
  </si>
  <si>
    <t>витрати пов’язані із сплатою податків і зборів, крім витрат, що включаються до виробничої собівартості</t>
  </si>
  <si>
    <t>витрати на операційну оренду основних засобів (будівель, приміщень, обладнання, тощо)</t>
  </si>
  <si>
    <t>витрати на проведення аудиту згідно з чинним законодавством</t>
  </si>
  <si>
    <t>витрати пов’язані з підготовкою (навчанням) та перепідготовкою кадрів, що проводяться з метою підвищення професійного рівня працівників апарату управління</t>
  </si>
  <si>
    <t>витрати на придбання спеціальної літератури для інформаційного забезпечення, в тому числі з питань законодавства і підписку спеціалізованих періодичних видань</t>
  </si>
  <si>
    <t>витрати пов’язані із супроводженням програмного забезпечення</t>
  </si>
  <si>
    <t>інші витрати, що не знайшли відображення в попередніх статтях</t>
  </si>
  <si>
    <t>відрахування професійним спілкам</t>
  </si>
  <si>
    <t>відрахування на державне (обов’язкове) пенсійне страхування (до Пенсійного фонду)</t>
  </si>
  <si>
    <t>оплата перших п’яти днів тимчасової непрацездатності</t>
  </si>
  <si>
    <t>витрати на науково-дослідні та проектно-конструкторські роботи</t>
  </si>
  <si>
    <t>витрати на охорону праці</t>
  </si>
  <si>
    <t>Вартість основних засобів</t>
  </si>
  <si>
    <t>Послуги сторонніх організацій</t>
  </si>
  <si>
    <t>№ з/п</t>
  </si>
  <si>
    <t>Початок робіт (рік, місяць)</t>
  </si>
  <si>
    <t>Назва заходу</t>
  </si>
  <si>
    <t>Обсяг фінансування, передбачений на плановий період</t>
  </si>
  <si>
    <t>Витрати на ремонтні роботи</t>
  </si>
  <si>
    <t>Прибуток від ліцензованої діяльності</t>
  </si>
  <si>
    <t>Амортизаційні відрахування</t>
  </si>
  <si>
    <t>Бюджетні кошти</t>
  </si>
  <si>
    <t>тис.грн (без ПДВ)</t>
  </si>
  <si>
    <t>Дохід від іншої діяльності</t>
  </si>
  <si>
    <t>Інші (розшифрувати)</t>
  </si>
  <si>
    <t>Найменування ліцензіата: _______________________________________________</t>
  </si>
  <si>
    <t>Вартість виконаних робіт (згідно з актами)</t>
  </si>
  <si>
    <t>за 3 міс.</t>
  </si>
  <si>
    <t>за 6 міс.</t>
  </si>
  <si>
    <t>за 9 міс.</t>
  </si>
  <si>
    <t>за рік</t>
  </si>
  <si>
    <t>Електротехнічне обладнання</t>
  </si>
  <si>
    <t>Теплотехнічне обладнання</t>
  </si>
  <si>
    <t>Загальностанційне обладнання</t>
  </si>
  <si>
    <t>Будівлі і споруди</t>
  </si>
  <si>
    <t>Інше</t>
  </si>
  <si>
    <t>1.1</t>
  </si>
  <si>
    <t>2.1</t>
  </si>
  <si>
    <t>3.1</t>
  </si>
  <si>
    <t>4.1</t>
  </si>
  <si>
    <t>5.1</t>
  </si>
  <si>
    <t>ІІ. Амортизаційні відрахування, які не є джерелом фінансування інвестиційної програми</t>
  </si>
  <si>
    <t>ІІІ. Амортизаційні відрахування, які є джерелом фінансування інвестиційної програми</t>
  </si>
  <si>
    <t>1.</t>
  </si>
  <si>
    <t>2.</t>
  </si>
  <si>
    <t>3.</t>
  </si>
  <si>
    <t>4.</t>
  </si>
  <si>
    <t>5.</t>
  </si>
  <si>
    <t xml:space="preserve">IV. Прибуток від ліцензованої діяльності </t>
  </si>
  <si>
    <t>V. Дохід від іншої діяльності</t>
  </si>
  <si>
    <t>Кредитні кошти</t>
  </si>
  <si>
    <t>VІ. Кредитні кошти</t>
  </si>
  <si>
    <t>VІІ. Бюджетні кошти</t>
  </si>
  <si>
    <t>VІІІ. Інші (розшифрувати)</t>
  </si>
  <si>
    <t>Рік останнього капітального ремонту (реконструкції, модернізації)</t>
  </si>
  <si>
    <t>І. Витрати на ремонтні роботи</t>
  </si>
  <si>
    <t>витрати на утримання і експлуатацію автотранспорту (витрати на технічне обслуговування легкових автомобілів, на паливно-мастильні матеріали тощо), якщо легкові автомобілі використовуються як технологічний транспорт у виробничій діяльності підприємства</t>
  </si>
  <si>
    <t>Вартість робіт</t>
  </si>
  <si>
    <t>Вартість матеріалів придбаних ліцензіатом</t>
  </si>
  <si>
    <t>частка витрат умовного палива</t>
  </si>
  <si>
    <t>в.о.</t>
  </si>
  <si>
    <t>вартість матеріалів та малоцінних і швидкозношуваних предметів</t>
  </si>
  <si>
    <t>вартість малоцінних та швидкозношуваних предметів (МШП), що використовуються протягом не більше одного року, або нормального операційного циклу, якщо він більше одного року в операційній діяльності підприємства, зокрема інструмент, господарський інвентар, спеціальне оснащення, спеціальний одяг, спеціальне взуття та інші засоби індивідуального захисту, мило та інші миючі засоби, знешкоджувальні засоби</t>
  </si>
  <si>
    <t>витрати на молоко та лікувально-профілактичне харчування</t>
  </si>
  <si>
    <t>витрати на утримання приміщень, що надаються безоплатно підприємствам громадського харчування або використовуються підприємствами самостійно для обслуговування працівників, що перебувають з підприємством у трудових відносинах, включаючи амортизаційні відрахування, витрати на проведення поточного ремонту приміщення, на освітлення, опалення, водопостачання, електропостачання</t>
  </si>
  <si>
    <t>при виконанні робіт вахтовим методом, транспортні витрати на перевезення працівників від місця знаходження підприємства або пункту збору до місця роботи і назад</t>
  </si>
  <si>
    <t>Додаток 3</t>
  </si>
  <si>
    <t>Природний газ для наданню послуг населенню (з транспортуванням)</t>
  </si>
  <si>
    <t>Природний газ для наданню послуг релігійним організаціям (з транспортуванням)</t>
  </si>
  <si>
    <t>Природний газ для наданню послуг бюджетним установам (з транспортуванням)</t>
  </si>
  <si>
    <t>Природний газ для наданню послуг бюджетним установам</t>
  </si>
  <si>
    <t>Природний газ для наданню послуг промисловим споживачам</t>
  </si>
  <si>
    <t>бюджетних установ, у т.ч.</t>
  </si>
  <si>
    <t>промислових споживачів, у т.ч.</t>
  </si>
  <si>
    <t>Для бюджетних установ</t>
  </si>
  <si>
    <t>Для промислових споживачів</t>
  </si>
  <si>
    <t>Розрахунок</t>
  </si>
  <si>
    <t>Розшифровки статей витрат</t>
  </si>
  <si>
    <t>Додаток 2</t>
  </si>
  <si>
    <t>Товарна продукція на виробництво теплової енергії для бюджетних установ</t>
  </si>
  <si>
    <t>Товарна продукція на виробництво теплової енергії для промислових споживачів</t>
  </si>
  <si>
    <t>Тариф на т/е для бюджетних установ</t>
  </si>
  <si>
    <t>Тариф на т/е для промислових споживачів</t>
  </si>
  <si>
    <t>собівартість т/е для промислових споживачів</t>
  </si>
  <si>
    <t>собівартість т/е для бюджетних установ</t>
  </si>
  <si>
    <t>т/е для промислових споживачів</t>
  </si>
  <si>
    <t>е/е споживачам за прямими договорами / т/е для бюджетних установ</t>
  </si>
  <si>
    <t>на виробництво т/е для бюджетних установ</t>
  </si>
  <si>
    <t>на виробництво т/е для промислових споживачів</t>
  </si>
  <si>
    <t xml:space="preserve">       Газ бюджетний за 1000 м3</t>
  </si>
  <si>
    <t xml:space="preserve">       Газ бюджетний</t>
  </si>
  <si>
    <t>Планований період</t>
  </si>
  <si>
    <t>вартість матеріалів, які використовуються для ремонту основних засобів, інших необоротних матеріальних активів</t>
  </si>
  <si>
    <t>витрати на придбання електричної енергії визначаються на підставі розрахунків, питомих норм споживання та технологічних нормативів, діючих цін (тарифів) на електричну енергію</t>
  </si>
  <si>
    <t>Додаток 4</t>
  </si>
  <si>
    <t>Перелік заходів та суми витрат на їх реалізацію,</t>
  </si>
  <si>
    <t>які передбачаються у планованому періоді</t>
  </si>
  <si>
    <t>Додаток 5</t>
  </si>
  <si>
    <t>Додаток 6</t>
  </si>
  <si>
    <t>Інформація про фактичне виконання заходів</t>
  </si>
  <si>
    <t>Профінансовано</t>
  </si>
  <si>
    <t>Освоєно згідно з актами виконаних робіт</t>
  </si>
  <si>
    <t>витрати на операційну оренду основних засобів (будівель, приміщень, обладнання тощо)</t>
  </si>
  <si>
    <t>КР</t>
  </si>
  <si>
    <t>ТР</t>
  </si>
  <si>
    <t>1.2</t>
  </si>
  <si>
    <t>1.3</t>
  </si>
  <si>
    <t>1.4</t>
  </si>
  <si>
    <t>1.5</t>
  </si>
  <si>
    <t>1.6</t>
  </si>
  <si>
    <t>1.7</t>
  </si>
  <si>
    <t>інші податки та сбори</t>
  </si>
  <si>
    <t>внески на регулювання діяльності у сферах енергетики та комунальних послуг (виробництво е/е)</t>
  </si>
  <si>
    <t>внески на регулювання діяльності у сферах енергетики та комунальних послуг (виробництво т/е)</t>
  </si>
  <si>
    <t>Теннічне обслуговування</t>
  </si>
  <si>
    <t>СР</t>
  </si>
  <si>
    <t xml:space="preserve">контрольки на т/эн </t>
  </si>
  <si>
    <t>тыс.грн.</t>
  </si>
  <si>
    <t>Природний газ промисловий (е/е, пром. споживачі) (з транспортуванням)</t>
  </si>
  <si>
    <t>Природний газ промисловий (е/е, пром. споживачі) (без транспортуванням)</t>
  </si>
  <si>
    <r>
      <t>ккал/м</t>
    </r>
    <r>
      <rPr>
        <vertAlign val="superscript"/>
        <sz val="10"/>
        <rFont val="Times New Roman"/>
        <family val="1"/>
        <charset val="204"/>
      </rPr>
      <t>4</t>
    </r>
    <r>
      <rPr>
        <sz val="10"/>
        <rFont val="Arial Cyr"/>
        <charset val="204"/>
      </rPr>
      <t/>
    </r>
  </si>
  <si>
    <t>Проверка</t>
  </si>
  <si>
    <t>план
 затвердж. НКРЕКП</t>
  </si>
  <si>
    <t>м3</t>
  </si>
  <si>
    <t>кВт.год</t>
  </si>
  <si>
    <t>платежі з обов’язкового страхування цивільної відповідальності суб’єктів господарювання за шкоду, яка може бути заподіяна пожежами та аваріями на об’єктах підвищеної небезпеки, включаючи пожежовибухонебезпечні об’єкти та об’єкти, господарська діяльність на яких може призвести до аварій екологічного і санітарно-епідеміологічного характеру</t>
  </si>
  <si>
    <t>платежі з обов’язкового страхування майна підприємства та цивільної відповідальності власників транспортних засобів, а також окремих категорій працівників, зайнятих у виробництві відповідних видів продукції (робіт, послуг) безпосередньо на роботах з підвищеною небезпекою для життя та здоров’я, передбачених законодавством</t>
  </si>
  <si>
    <t>л</t>
  </si>
  <si>
    <r>
      <t xml:space="preserve">Найменування ліцензіата: </t>
    </r>
    <r>
      <rPr>
        <b/>
        <i/>
        <u/>
        <sz val="15"/>
        <rFont val="Times New Roman"/>
        <family val="1"/>
        <charset val="204"/>
      </rPr>
      <t>Вуглегірська ТЕС ПАТ "Центренерго"</t>
    </r>
    <r>
      <rPr>
        <b/>
        <sz val="15"/>
        <rFont val="Times New Roman"/>
        <family val="1"/>
        <charset val="204"/>
      </rPr>
      <t xml:space="preserve"> </t>
    </r>
  </si>
  <si>
    <t>         Блок  300 МВт ст.№1</t>
  </si>
  <si>
    <t>         Блок 300 МВт ст.№2</t>
  </si>
  <si>
    <t>         Блок 300 МВт ст.№3</t>
  </si>
  <si>
    <t>         Блок 300 МВт ст.№4</t>
  </si>
  <si>
    <t>         Блок 300 МВт ст.№5</t>
  </si>
  <si>
    <t>         Блок 300 МВт ст.№6</t>
  </si>
  <si>
    <t>         Блок 300 МВт ст.№7</t>
  </si>
  <si>
    <t>Керівник організації</t>
  </si>
  <si>
    <t xml:space="preserve">С.Г. Тарутін </t>
  </si>
  <si>
    <r>
      <t xml:space="preserve">Телефон: </t>
    </r>
    <r>
      <rPr>
        <i/>
        <u/>
        <sz val="12"/>
        <rFont val="Times New Roman"/>
        <family val="1"/>
        <charset val="204"/>
      </rPr>
      <t>062-49-5-43-55</t>
    </r>
  </si>
  <si>
    <r>
      <t xml:space="preserve">Факс: </t>
    </r>
    <r>
      <rPr>
        <i/>
        <u/>
        <sz val="12"/>
        <rFont val="Times New Roman"/>
        <family val="1"/>
        <charset val="204"/>
      </rPr>
      <t>062-49-5-75-33</t>
    </r>
  </si>
  <si>
    <t xml:space="preserve">В.о начальника  ПЕВ </t>
  </si>
  <si>
    <t>І.М. Руда</t>
  </si>
  <si>
    <t>тарифів на відпуск електричної енергії та (або) виробництво теплової енергії  Вуглегірська ТЕС ПАТ " Центренерго"</t>
  </si>
  <si>
    <r>
      <t>Електронна пошта:</t>
    </r>
    <r>
      <rPr>
        <u/>
        <sz val="12"/>
        <rFont val="Times New Roman"/>
        <family val="1"/>
        <charset val="204"/>
      </rPr>
      <t>_kanc@utes.centrenergo.com________________</t>
    </r>
  </si>
  <si>
    <t xml:space="preserve">Розрахунок палива на плановий період  Вуглегірська ТЕС ПАТ " Центренерго" </t>
  </si>
  <si>
    <r>
      <t>Електронна пошта:</t>
    </r>
    <r>
      <rPr>
        <u/>
        <sz val="12"/>
        <rFont val="Times New Roman"/>
        <family val="1"/>
        <charset val="204"/>
      </rPr>
      <t>_kanc@utes.centrenergo.com</t>
    </r>
  </si>
  <si>
    <t>виробничої собівартості, адміністративних витрат та інших операційних витрат
Вуглегірська ТЕС ПАТ " Центренерго"</t>
  </si>
  <si>
    <t xml:space="preserve">факт, що передує базовому періоду  2019р. </t>
  </si>
  <si>
    <t>Газ</t>
  </si>
  <si>
    <t>*</t>
  </si>
  <si>
    <t>19.07-16.10.2021</t>
  </si>
  <si>
    <t>01.04-24.04.2021</t>
  </si>
  <si>
    <t>18.10-25.12.2021</t>
  </si>
  <si>
    <t>27.04-20.05.2021</t>
  </si>
  <si>
    <t xml:space="preserve">Начальник  ПЕВ </t>
  </si>
  <si>
    <t>Л. В. Васильконова</t>
  </si>
  <si>
    <t>,</t>
  </si>
  <si>
    <t>Вид діяльності</t>
  </si>
  <si>
    <t>2</t>
  </si>
  <si>
    <t>2.1.</t>
  </si>
  <si>
    <t>Інша діяльність</t>
  </si>
  <si>
    <t>Інша операційна діяльність :</t>
  </si>
  <si>
    <t xml:space="preserve"> на соціальний розвиток, у тому числі:</t>
  </si>
  <si>
    <t>2.1.1</t>
  </si>
  <si>
    <t>відділ робочого постачання</t>
  </si>
  <si>
    <t>2.2.2</t>
  </si>
  <si>
    <t>діяльність соціальної сфери</t>
  </si>
  <si>
    <t>2.2.3.</t>
  </si>
  <si>
    <t>відрахування профкому, придбання путівок</t>
  </si>
  <si>
    <t>2.2.4.</t>
  </si>
  <si>
    <t>соціальні виплати згідно колективного договору</t>
  </si>
  <si>
    <t>2.2.</t>
  </si>
  <si>
    <t xml:space="preserve">дослідження та розробки </t>
  </si>
  <si>
    <t>2.3.</t>
  </si>
  <si>
    <t>інші витрати, у тому числі</t>
  </si>
  <si>
    <t>2.3.1.</t>
  </si>
  <si>
    <t xml:space="preserve">оперативна оренда </t>
  </si>
  <si>
    <t>2.3.2.</t>
  </si>
  <si>
    <t xml:space="preserve">реалізація товарів, робіт, послуг на сторону </t>
  </si>
  <si>
    <t>2.3.3.</t>
  </si>
  <si>
    <t xml:space="preserve">діяльність підсобного господарства </t>
  </si>
  <si>
    <t>2.3.4.</t>
  </si>
  <si>
    <t>одержання грантів субсидій</t>
  </si>
  <si>
    <t>2.3.5.</t>
  </si>
  <si>
    <t>відсотки на залишки на рахунках</t>
  </si>
  <si>
    <t>2.3.6.</t>
  </si>
  <si>
    <t>утриманння газети</t>
  </si>
  <si>
    <t>2.3.7.</t>
  </si>
  <si>
    <t>ПДВ, який неможливо віднести на розрахунки з бюджетом</t>
  </si>
  <si>
    <t>2.3.8</t>
  </si>
  <si>
    <t>оприбуткування ТМЦ від ліквідації оборотних активів</t>
  </si>
  <si>
    <t>2.3.9.</t>
  </si>
  <si>
    <t>витрати за рішенням суду</t>
  </si>
  <si>
    <t>2.3.10.</t>
  </si>
  <si>
    <t xml:space="preserve"> штрафи , економічні санкції</t>
  </si>
  <si>
    <t>2.3.11.</t>
  </si>
  <si>
    <t>нестачі , результати інвентаризації</t>
  </si>
  <si>
    <t>2.3.12.</t>
  </si>
  <si>
    <t>інші</t>
  </si>
  <si>
    <t xml:space="preserve">Фінансові витрати </t>
  </si>
  <si>
    <t>Інші витрати, доходи</t>
  </si>
  <si>
    <t>С.Г. Тарутін</t>
  </si>
  <si>
    <t>Л.В. Васильконова</t>
  </si>
  <si>
    <t xml:space="preserve">Розшифровка до розрахунку тарифу на виробництво теплової енергії 
ст. "Інші операційні витрати " на 2021 рік
по Вуглегірській ТЕС. 
 </t>
  </si>
  <si>
    <t>базовий 2020</t>
  </si>
  <si>
    <t xml:space="preserve">плановий 2021 р.
</t>
  </si>
  <si>
    <t xml:space="preserve"> Базовий 
 2020 р.</t>
  </si>
  <si>
    <t xml:space="preserve">Витрати на збут продукції, у т.ч.: </t>
  </si>
  <si>
    <t xml:space="preserve">витрати на оплату праці </t>
  </si>
  <si>
    <t xml:space="preserve">відрахування на загальнообов’язкове державне соціальне страхування </t>
  </si>
  <si>
    <t xml:space="preserve">амортизація основних засобів, інших необоротних матеріальних і нематеріальних активів </t>
  </si>
  <si>
    <t xml:space="preserve">Витрати на збут, у т.ч.: </t>
  </si>
  <si>
    <r>
      <t xml:space="preserve">       Газ комунальний за 1000 м</t>
    </r>
    <r>
      <rPr>
        <vertAlign val="superscript"/>
        <sz val="10"/>
        <color theme="1"/>
        <rFont val="Times New Roman"/>
        <family val="1"/>
        <charset val="204"/>
      </rPr>
      <t>3</t>
    </r>
  </si>
  <si>
    <r>
      <t xml:space="preserve">       Газ релігійний за 1000 м</t>
    </r>
    <r>
      <rPr>
        <vertAlign val="superscript"/>
        <sz val="10"/>
        <color theme="1"/>
        <rFont val="Times New Roman"/>
        <family val="1"/>
        <charset val="204"/>
      </rPr>
      <t>3</t>
    </r>
  </si>
  <si>
    <r>
      <t xml:space="preserve">       Газ промисловий за 1000 м</t>
    </r>
    <r>
      <rPr>
        <vertAlign val="superscript"/>
        <sz val="10"/>
        <color theme="1"/>
        <rFont val="Times New Roman"/>
        <family val="1"/>
        <charset val="204"/>
      </rPr>
      <t>3</t>
    </r>
  </si>
  <si>
    <r>
      <t xml:space="preserve">       Газ промисловий додатковий за 1000 м</t>
    </r>
    <r>
      <rPr>
        <vertAlign val="superscript"/>
        <sz val="10"/>
        <color theme="1"/>
        <rFont val="Times New Roman"/>
        <family val="1"/>
        <charset val="204"/>
      </rPr>
      <t>3</t>
    </r>
  </si>
  <si>
    <r>
      <t xml:space="preserve">Телефон: </t>
    </r>
    <r>
      <rPr>
        <i/>
        <u/>
        <sz val="12"/>
        <color theme="1"/>
        <rFont val="Times New Roman"/>
        <family val="1"/>
        <charset val="204"/>
      </rPr>
      <t>062-49-5-43-55</t>
    </r>
  </si>
  <si>
    <r>
      <t xml:space="preserve">Факс: </t>
    </r>
    <r>
      <rPr>
        <i/>
        <u/>
        <sz val="12"/>
        <color theme="1"/>
        <rFont val="Times New Roman"/>
        <family val="1"/>
        <charset val="204"/>
      </rPr>
      <t>062-49-5-75-33</t>
    </r>
  </si>
  <si>
    <r>
      <t>Електронна пошта:</t>
    </r>
    <r>
      <rPr>
        <u/>
        <sz val="12"/>
        <color theme="1"/>
        <rFont val="Times New Roman"/>
        <family val="1"/>
        <charset val="204"/>
      </rPr>
      <t>_kanc@utes.centrenergo.com________________</t>
    </r>
  </si>
  <si>
    <t xml:space="preserve">Директор теплової електростанції </t>
  </si>
  <si>
    <t xml:space="preserve">Начальник ПЕВ </t>
  </si>
  <si>
    <t>Л.В.Васильконова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</si>
</sst>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3" formatCode="_-* #,##0.00_р_._-;\-* #,##0.00_р_._-;_-* &quot;-&quot;??_р_._-;_-@_-"/>
    <numFmt numFmtId="164" formatCode="_-* #,##0.00\ &quot;₽&quot;_-;\-* #,##0.00\ &quot;₽&quot;_-;_-* &quot;-&quot;??\ &quot;₽&quot;_-;_-@_-"/>
    <numFmt numFmtId="165" formatCode="_-* #,##0.00\ _₽_-;\-* #,##0.00\ _₽_-;_-* &quot;-&quot;??\ _₽_-;_-@_-"/>
    <numFmt numFmtId="166" formatCode="#,##0.0"/>
    <numFmt numFmtId="167" formatCode="0.0"/>
    <numFmt numFmtId="168" formatCode="0.000"/>
    <numFmt numFmtId="169" formatCode="0.0%"/>
    <numFmt numFmtId="170" formatCode="#,##0.0_ ;[Red]\-#,##0.0\ "/>
    <numFmt numFmtId="171" formatCode="#,##0.000"/>
    <numFmt numFmtId="172" formatCode="#,##0.000_ ;[Red]\-#,##0.000\ "/>
    <numFmt numFmtId="173" formatCode="#,##0.0000"/>
    <numFmt numFmtId="174" formatCode="_-* #,##0\ _г_р_н_._-;\-* #,##0\ _г_р_н_._-;_-* &quot;-&quot;??\ _г_р_н_._-;_-@_-"/>
    <numFmt numFmtId="175" formatCode="_-* #,##0\ _₽_-;\-* #,##0\ _₽_-;_-* &quot;-&quot;\ _₽_-;_-@_-"/>
    <numFmt numFmtId="176" formatCode="0.0000"/>
    <numFmt numFmtId="177" formatCode="#,##0.00000_ ;[Red]\-#,##0.00000\ "/>
    <numFmt numFmtId="178" formatCode="#,##0.0000_ ;[Red]\-#,##0.0000\ "/>
  </numFmts>
  <fonts count="63" x14ac:knownFonts="1">
    <font>
      <sz val="10"/>
      <name val="Arial Cyr"/>
      <charset val="204"/>
    </font>
    <font>
      <sz val="10"/>
      <name val="Arial Cyr"/>
      <charset val="204"/>
    </font>
    <font>
      <sz val="12"/>
      <name val="Times New Roman"/>
      <family val="1"/>
      <charset val="204"/>
    </font>
    <font>
      <sz val="10"/>
      <name val="Arial"/>
      <family val="2"/>
      <charset val="204"/>
    </font>
    <font>
      <sz val="10"/>
      <name val="Times New Roman"/>
      <family val="1"/>
      <charset val="204"/>
    </font>
    <font>
      <b/>
      <sz val="10"/>
      <name val="Times New Roman"/>
      <family val="1"/>
      <charset val="204"/>
    </font>
    <font>
      <sz val="12"/>
      <name val="Arial Cyr"/>
      <charset val="204"/>
    </font>
    <font>
      <sz val="10"/>
      <name val="Arial Cyr"/>
      <charset val="204"/>
    </font>
    <font>
      <vertAlign val="superscript"/>
      <sz val="10"/>
      <name val="Times New Roman"/>
      <family val="1"/>
      <charset val="204"/>
    </font>
    <font>
      <sz val="8"/>
      <name val="Arial Cyr"/>
      <charset val="204"/>
    </font>
    <font>
      <i/>
      <sz val="10"/>
      <name val="Times New Roman"/>
      <family val="1"/>
      <charset val="204"/>
    </font>
    <font>
      <sz val="11"/>
      <color indexed="17"/>
      <name val="Calibri"/>
      <family val="2"/>
      <charset val="204"/>
    </font>
    <font>
      <sz val="11"/>
      <color indexed="60"/>
      <name val="Calibri"/>
      <family val="2"/>
      <charset val="204"/>
    </font>
    <font>
      <sz val="9"/>
      <color indexed="81"/>
      <name val="Tahoma"/>
      <family val="2"/>
      <charset val="204"/>
    </font>
    <font>
      <b/>
      <sz val="9"/>
      <color indexed="81"/>
      <name val="Tahoma"/>
      <family val="2"/>
      <charset val="204"/>
    </font>
    <font>
      <b/>
      <sz val="10"/>
      <color rgb="FFFF0000"/>
      <name val="Times New Roman"/>
      <family val="1"/>
      <charset val="204"/>
    </font>
    <font>
      <sz val="10"/>
      <color rgb="FFFF0000"/>
      <name val="Times New Roman"/>
      <family val="1"/>
      <charset val="204"/>
    </font>
    <font>
      <i/>
      <sz val="10"/>
      <color rgb="FFFF0000"/>
      <name val="Times New Roman"/>
      <family val="1"/>
      <charset val="204"/>
    </font>
    <font>
      <sz val="10"/>
      <color theme="0"/>
      <name val="Arial Cyr"/>
      <charset val="204"/>
    </font>
    <font>
      <b/>
      <sz val="10"/>
      <color theme="1"/>
      <name val="Times New Roman"/>
      <family val="1"/>
      <charset val="204"/>
    </font>
    <font>
      <sz val="10"/>
      <color theme="1"/>
      <name val="Arial"/>
      <family val="2"/>
      <charset val="204"/>
    </font>
    <font>
      <sz val="10"/>
      <color theme="1"/>
      <name val="Times New Roman"/>
      <family val="1"/>
      <charset val="204"/>
    </font>
    <font>
      <b/>
      <sz val="10"/>
      <color theme="1"/>
      <name val="Arial"/>
      <family val="2"/>
      <charset val="204"/>
    </font>
    <font>
      <b/>
      <sz val="12"/>
      <name val="Times New Roman"/>
      <family val="1"/>
      <charset val="204"/>
    </font>
    <font>
      <sz val="10"/>
      <color indexed="10"/>
      <name val="Times New Roman"/>
      <family val="1"/>
      <charset val="204"/>
    </font>
    <font>
      <sz val="24"/>
      <color indexed="10"/>
      <name val="Times New Roman"/>
      <family val="1"/>
      <charset val="204"/>
    </font>
    <font>
      <i/>
      <sz val="10"/>
      <color theme="1"/>
      <name val="Times New Roman"/>
      <family val="1"/>
      <charset val="204"/>
    </font>
    <font>
      <b/>
      <i/>
      <u/>
      <sz val="15"/>
      <name val="Times New Roman"/>
      <family val="1"/>
      <charset val="204"/>
    </font>
    <font>
      <b/>
      <sz val="15"/>
      <name val="Times New Roman"/>
      <family val="1"/>
      <charset val="204"/>
    </font>
    <font>
      <sz val="22"/>
      <color rgb="FFC00000"/>
      <name val="Arial Cyr"/>
      <charset val="204"/>
    </font>
    <font>
      <i/>
      <u/>
      <sz val="12"/>
      <name val="Times New Roman"/>
      <family val="1"/>
      <charset val="204"/>
    </font>
    <font>
      <u/>
      <sz val="12"/>
      <name val="Times New Roman"/>
      <family val="1"/>
      <charset val="204"/>
    </font>
    <font>
      <b/>
      <i/>
      <sz val="10"/>
      <name val="Times New Roman"/>
      <family val="1"/>
      <charset val="204"/>
    </font>
    <font>
      <i/>
      <sz val="10"/>
      <color indexed="10"/>
      <name val="Times New Roman"/>
      <family val="1"/>
      <charset val="204"/>
    </font>
    <font>
      <b/>
      <sz val="10"/>
      <color indexed="8"/>
      <name val="Times New Roman"/>
      <family val="1"/>
      <charset val="204"/>
    </font>
    <font>
      <b/>
      <sz val="10"/>
      <color indexed="10"/>
      <name val="Times New Roman"/>
      <family val="1"/>
      <charset val="204"/>
    </font>
    <font>
      <sz val="10"/>
      <color theme="0" tint="-0.14999847407452621"/>
      <name val="Times New Roman"/>
      <family val="1"/>
      <charset val="204"/>
    </font>
    <font>
      <b/>
      <sz val="14"/>
      <name val="Times New Roman"/>
      <family val="1"/>
      <charset val="204"/>
    </font>
    <font>
      <sz val="13"/>
      <name val="Times New Roman"/>
      <family val="1"/>
      <charset val="204"/>
    </font>
    <font>
      <sz val="11"/>
      <name val="Times New Roman"/>
      <family val="1"/>
      <charset val="204"/>
    </font>
    <font>
      <b/>
      <sz val="13"/>
      <name val="Times New Roman"/>
      <family val="1"/>
      <charset val="204"/>
    </font>
    <font>
      <b/>
      <sz val="13.5"/>
      <name val="Times New Roman"/>
      <family val="1"/>
      <charset val="204"/>
    </font>
    <font>
      <sz val="14"/>
      <color theme="1"/>
      <name val="Times New Roman"/>
      <family val="1"/>
      <charset val="204"/>
    </font>
    <font>
      <sz val="14"/>
      <name val="Times New Roman"/>
      <family val="1"/>
      <charset val="204"/>
    </font>
    <font>
      <b/>
      <sz val="10"/>
      <name val="Arial Cyr"/>
      <charset val="204"/>
    </font>
    <font>
      <sz val="12.5"/>
      <name val="Times New Roman"/>
      <family val="1"/>
      <charset val="204"/>
    </font>
    <font>
      <sz val="12"/>
      <color indexed="8"/>
      <name val="Times New Roman"/>
      <family val="2"/>
      <charset val="204"/>
    </font>
    <font>
      <sz val="11"/>
      <color indexed="8"/>
      <name val="Times New Roman"/>
      <family val="1"/>
      <charset val="204"/>
    </font>
    <font>
      <sz val="13"/>
      <name val="Arial Cyr"/>
      <charset val="204"/>
    </font>
    <font>
      <sz val="10"/>
      <color theme="1"/>
      <name val="Arial Cyr"/>
      <charset val="204"/>
    </font>
    <font>
      <b/>
      <sz val="11"/>
      <color theme="1"/>
      <name val="Times New Roman Cyr"/>
      <charset val="204"/>
    </font>
    <font>
      <b/>
      <sz val="11"/>
      <name val="Times New Roman"/>
      <family val="1"/>
      <charset val="204"/>
    </font>
    <font>
      <b/>
      <sz val="13"/>
      <color theme="1"/>
      <name val="Times New Roman"/>
      <family val="1"/>
      <charset val="204"/>
    </font>
    <font>
      <b/>
      <sz val="10"/>
      <color indexed="12"/>
      <name val="Times New Roman"/>
      <family val="1"/>
      <charset val="204"/>
    </font>
    <font>
      <vertAlign val="superscript"/>
      <sz val="10"/>
      <color theme="1"/>
      <name val="Times New Roman"/>
      <family val="1"/>
      <charset val="204"/>
    </font>
    <font>
      <sz val="12"/>
      <color theme="1"/>
      <name val="Times New Roman"/>
      <family val="1"/>
      <charset val="204"/>
    </font>
    <font>
      <i/>
      <u/>
      <sz val="12"/>
      <color theme="1"/>
      <name val="Times New Roman"/>
      <family val="1"/>
      <charset val="204"/>
    </font>
    <font>
      <sz val="12"/>
      <color theme="1"/>
      <name val="Arial Cyr"/>
      <charset val="204"/>
    </font>
    <font>
      <u/>
      <sz val="12"/>
      <color theme="1"/>
      <name val="Times New Roman"/>
      <family val="1"/>
      <charset val="204"/>
    </font>
    <font>
      <b/>
      <sz val="10"/>
      <color theme="0"/>
      <name val="Times New Roman"/>
      <family val="1"/>
      <charset val="204"/>
    </font>
    <font>
      <sz val="10"/>
      <color theme="0"/>
      <name val="Times New Roman"/>
      <family val="1"/>
      <charset val="204"/>
    </font>
    <font>
      <sz val="12"/>
      <name val="Times New Roman Cyr"/>
      <family val="1"/>
      <charset val="204"/>
    </font>
    <font>
      <sz val="12"/>
      <color theme="1"/>
      <name val="Times New Roman Cyr"/>
      <family val="1"/>
      <charset val="204"/>
    </font>
  </fonts>
  <fills count="14">
    <fill>
      <patternFill patternType="none"/>
    </fill>
    <fill>
      <patternFill patternType="gray125"/>
    </fill>
    <fill>
      <patternFill patternType="solid">
        <fgColor indexed="42"/>
      </patternFill>
    </fill>
    <fill>
      <patternFill patternType="solid">
        <fgColor indexed="43"/>
      </patternFill>
    </fill>
    <fill>
      <patternFill patternType="solid">
        <fgColor indexed="43"/>
        <bgColor indexed="64"/>
      </patternFill>
    </fill>
    <fill>
      <patternFill patternType="solid">
        <fgColor indexed="42"/>
        <bgColor indexed="64"/>
      </patternFill>
    </fill>
    <fill>
      <patternFill patternType="solid">
        <fgColor indexed="45"/>
        <bgColor indexed="64"/>
      </patternFill>
    </fill>
    <fill>
      <patternFill patternType="solid">
        <fgColor indexed="13"/>
        <bgColor indexed="64"/>
      </patternFill>
    </fill>
    <fill>
      <patternFill patternType="solid">
        <fgColor theme="0"/>
        <bgColor indexed="64"/>
      </patternFill>
    </fill>
    <fill>
      <patternFill patternType="solid">
        <fgColor indexed="9"/>
        <bgColor indexed="64"/>
      </patternFill>
    </fill>
    <fill>
      <patternFill patternType="solid">
        <fgColor indexed="2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41"/>
        <bgColor indexed="64"/>
      </patternFill>
    </fill>
  </fills>
  <borders count="87">
    <border>
      <left/>
      <right/>
      <top/>
      <bottom/>
      <diagonal/>
    </border>
    <border>
      <left style="medium">
        <color indexed="64"/>
      </left>
      <right style="medium">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double">
        <color indexed="64"/>
      </top>
      <bottom style="double">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medium">
        <color indexed="64"/>
      </bottom>
      <diagonal/>
    </border>
    <border>
      <left style="hair">
        <color indexed="64"/>
      </left>
      <right style="medium">
        <color indexed="64"/>
      </right>
      <top style="hair">
        <color indexed="64"/>
      </top>
      <bottom/>
      <diagonal/>
    </border>
    <border>
      <left style="medium">
        <color indexed="64"/>
      </left>
      <right style="medium">
        <color indexed="64"/>
      </right>
      <top/>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bottom style="medium">
        <color indexed="64"/>
      </bottom>
      <diagonal/>
    </border>
    <border>
      <left style="hair">
        <color indexed="64"/>
      </left>
      <right style="medium">
        <color indexed="64"/>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hair">
        <color indexed="64"/>
      </left>
      <right style="hair">
        <color indexed="64"/>
      </right>
      <top/>
      <bottom style="medium">
        <color indexed="64"/>
      </bottom>
      <diagonal/>
    </border>
    <border>
      <left/>
      <right style="hair">
        <color indexed="64"/>
      </right>
      <top style="medium">
        <color indexed="64"/>
      </top>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medium">
        <color indexed="64"/>
      </right>
      <top style="double">
        <color indexed="64"/>
      </top>
      <bottom style="double">
        <color indexed="6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medium">
        <color indexed="64"/>
      </left>
      <right style="hair">
        <color indexed="64"/>
      </right>
      <top/>
      <bottom style="medium">
        <color indexed="64"/>
      </bottom>
      <diagonal/>
    </border>
    <border>
      <left style="medium">
        <color indexed="64"/>
      </left>
      <right style="hair">
        <color indexed="64"/>
      </right>
      <top style="medium">
        <color indexed="64"/>
      </top>
      <bottom style="medium">
        <color indexed="64"/>
      </bottom>
      <diagonal/>
    </border>
    <border>
      <left/>
      <right style="hair">
        <color indexed="64"/>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medium">
        <color indexed="64"/>
      </top>
      <bottom style="medium">
        <color indexed="64"/>
      </bottom>
      <diagonal/>
    </border>
    <border>
      <left/>
      <right style="hair">
        <color indexed="64"/>
      </right>
      <top style="hair">
        <color indexed="64"/>
      </top>
      <bottom style="hair">
        <color indexed="64"/>
      </bottom>
      <diagonal/>
    </border>
    <border>
      <left/>
      <right style="hair">
        <color indexed="64"/>
      </right>
      <top style="hair">
        <color indexed="64"/>
      </top>
      <bottom style="medium">
        <color indexed="64"/>
      </bottom>
      <diagonal/>
    </border>
    <border>
      <left style="hair">
        <color indexed="64"/>
      </left>
      <right style="hair">
        <color indexed="64"/>
      </right>
      <top/>
      <bottom/>
      <diagonal/>
    </border>
    <border>
      <left style="hair">
        <color indexed="64"/>
      </left>
      <right style="medium">
        <color indexed="64"/>
      </right>
      <top/>
      <bottom/>
      <diagonal/>
    </border>
    <border>
      <left style="medium">
        <color indexed="64"/>
      </left>
      <right style="medium">
        <color indexed="64"/>
      </right>
      <top style="double">
        <color indexed="64"/>
      </top>
      <bottom style="medium">
        <color indexed="64"/>
      </bottom>
      <diagonal/>
    </border>
    <border>
      <left style="medium">
        <color indexed="64"/>
      </left>
      <right style="hair">
        <color indexed="64"/>
      </right>
      <top style="double">
        <color indexed="64"/>
      </top>
      <bottom style="medium">
        <color indexed="64"/>
      </bottom>
      <diagonal/>
    </border>
    <border>
      <left/>
      <right/>
      <top/>
      <bottom style="thin">
        <color indexed="64"/>
      </bottom>
      <diagonal/>
    </border>
    <border>
      <left/>
      <right/>
      <top style="thin">
        <color indexed="64"/>
      </top>
      <bottom/>
      <diagonal/>
    </border>
    <border>
      <left/>
      <right/>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top style="hair">
        <color indexed="64"/>
      </top>
      <bottom style="hair">
        <color indexed="64"/>
      </bottom>
      <diagonal/>
    </border>
    <border>
      <left style="hair">
        <color indexed="64"/>
      </left>
      <right/>
      <top style="medium">
        <color indexed="64"/>
      </top>
      <bottom style="hair">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hair">
        <color indexed="64"/>
      </left>
      <right/>
      <top style="hair">
        <color indexed="64"/>
      </top>
      <bottom style="medium">
        <color indexed="64"/>
      </bottom>
      <diagonal/>
    </border>
    <border>
      <left/>
      <right/>
      <top/>
      <bottom style="hair">
        <color indexed="64"/>
      </bottom>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style="hair">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style="hair">
        <color indexed="64"/>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right style="medium">
        <color indexed="64"/>
      </right>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12">
    <xf numFmtId="0" fontId="0" fillId="0" borderId="0"/>
    <xf numFmtId="0" fontId="7" fillId="0" borderId="0"/>
    <xf numFmtId="0" fontId="11" fillId="2" borderId="0" applyNumberFormat="0" applyBorder="0" applyAlignment="0" applyProtection="0"/>
    <xf numFmtId="0" fontId="1" fillId="0" borderId="0"/>
    <xf numFmtId="0" fontId="12" fillId="3" borderId="0" applyNumberFormat="0" applyBorder="0" applyAlignment="0" applyProtection="0"/>
    <xf numFmtId="9"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165" fontId="1" fillId="0" borderId="0" applyFont="0" applyFill="0" applyBorder="0" applyAlignment="0" applyProtection="0"/>
    <xf numFmtId="0" fontId="3" fillId="0" borderId="0"/>
    <xf numFmtId="0" fontId="1" fillId="0" borderId="0"/>
  </cellStyleXfs>
  <cellXfs count="879">
    <xf numFmtId="0" fontId="0" fillId="0" borderId="0" xfId="0"/>
    <xf numFmtId="0" fontId="5" fillId="0" borderId="6" xfId="1" applyFont="1" applyFill="1" applyBorder="1" applyAlignment="1" applyProtection="1">
      <alignment horizontal="left" vertical="center" wrapText="1"/>
    </xf>
    <xf numFmtId="0" fontId="4" fillId="0" borderId="0" xfId="1" applyFont="1"/>
    <xf numFmtId="0" fontId="4" fillId="0" borderId="1" xfId="1" applyFont="1" applyBorder="1" applyAlignment="1">
      <alignment vertical="center" wrapText="1"/>
    </xf>
    <xf numFmtId="0" fontId="4" fillId="0" borderId="7" xfId="1" applyFont="1" applyBorder="1" applyAlignment="1">
      <alignment vertical="center" wrapText="1"/>
    </xf>
    <xf numFmtId="0" fontId="5" fillId="0" borderId="6" xfId="1" applyFont="1" applyBorder="1" applyAlignment="1" applyProtection="1">
      <alignment horizontal="left" vertical="center" wrapText="1"/>
    </xf>
    <xf numFmtId="0" fontId="4" fillId="0" borderId="1" xfId="1" applyFont="1" applyBorder="1" applyAlignment="1">
      <alignment horizontal="right" vertical="center" wrapText="1"/>
    </xf>
    <xf numFmtId="0" fontId="4" fillId="0" borderId="7" xfId="1" applyFont="1" applyFill="1" applyBorder="1" applyAlignment="1">
      <alignment vertical="center" wrapText="1"/>
    </xf>
    <xf numFmtId="0" fontId="4" fillId="0" borderId="1" xfId="1" applyFont="1" applyFill="1" applyBorder="1" applyAlignment="1">
      <alignment vertical="center" wrapText="1"/>
    </xf>
    <xf numFmtId="0" fontId="4" fillId="0" borderId="19" xfId="2" applyFont="1" applyFill="1" applyBorder="1" applyProtection="1"/>
    <xf numFmtId="0" fontId="5" fillId="0" borderId="19" xfId="1" applyFont="1" applyBorder="1" applyAlignment="1">
      <alignment horizontal="center" vertical="center" wrapText="1"/>
    </xf>
    <xf numFmtId="49" fontId="4" fillId="0" borderId="19" xfId="1" applyNumberFormat="1" applyFont="1" applyBorder="1" applyAlignment="1">
      <alignment horizontal="right"/>
    </xf>
    <xf numFmtId="9" fontId="4" fillId="0" borderId="19" xfId="1" applyNumberFormat="1" applyFont="1" applyBorder="1"/>
    <xf numFmtId="0" fontId="4" fillId="0" borderId="19" xfId="1" applyFont="1" applyBorder="1"/>
    <xf numFmtId="166" fontId="5" fillId="0" borderId="22" xfId="1" applyNumberFormat="1" applyFont="1" applyFill="1" applyBorder="1" applyAlignment="1">
      <alignment vertical="center"/>
    </xf>
    <xf numFmtId="1" fontId="5" fillId="6" borderId="14" xfId="1" applyNumberFormat="1" applyFont="1" applyFill="1" applyBorder="1" applyAlignment="1" applyProtection="1">
      <alignment vertical="center" wrapText="1"/>
    </xf>
    <xf numFmtId="0" fontId="5" fillId="5" borderId="6" xfId="1" applyFont="1" applyFill="1" applyBorder="1" applyAlignment="1" applyProtection="1">
      <alignment horizontal="left" vertical="center" wrapText="1"/>
    </xf>
    <xf numFmtId="166" fontId="5" fillId="5" borderId="24" xfId="1" applyNumberFormat="1" applyFont="1" applyFill="1" applyBorder="1" applyAlignment="1">
      <alignment vertical="center"/>
    </xf>
    <xf numFmtId="0" fontId="5" fillId="5" borderId="3" xfId="1" applyFont="1" applyFill="1" applyBorder="1" applyAlignment="1" applyProtection="1">
      <alignment horizontal="left" vertical="center" wrapText="1"/>
    </xf>
    <xf numFmtId="0" fontId="5" fillId="5" borderId="1" xfId="1" applyFont="1" applyFill="1" applyBorder="1" applyAlignment="1" applyProtection="1">
      <alignment horizontal="left" vertical="center" wrapText="1"/>
    </xf>
    <xf numFmtId="166" fontId="5" fillId="6" borderId="12" xfId="1" applyNumberFormat="1" applyFont="1" applyFill="1" applyBorder="1" applyAlignment="1">
      <alignment vertical="center"/>
    </xf>
    <xf numFmtId="166" fontId="5" fillId="5" borderId="39" xfId="1" applyNumberFormat="1" applyFont="1" applyFill="1" applyBorder="1" applyAlignment="1">
      <alignment vertical="center" wrapText="1"/>
    </xf>
    <xf numFmtId="166" fontId="10" fillId="0" borderId="42" xfId="1" applyNumberFormat="1" applyFont="1" applyFill="1" applyBorder="1" applyAlignment="1">
      <alignment vertical="center" wrapText="1"/>
    </xf>
    <xf numFmtId="166" fontId="10" fillId="0" borderId="43" xfId="1" applyNumberFormat="1" applyFont="1" applyFill="1" applyBorder="1" applyAlignment="1">
      <alignment vertical="center" wrapText="1"/>
    </xf>
    <xf numFmtId="166" fontId="5" fillId="0" borderId="25" xfId="1" applyNumberFormat="1" applyFont="1" applyFill="1" applyBorder="1" applyAlignment="1">
      <alignment vertical="center" wrapText="1"/>
    </xf>
    <xf numFmtId="166" fontId="5" fillId="0" borderId="2" xfId="1" applyNumberFormat="1" applyFont="1" applyFill="1" applyBorder="1" applyAlignment="1">
      <alignment vertical="center" wrapText="1"/>
    </xf>
    <xf numFmtId="166" fontId="5" fillId="0" borderId="31" xfId="1" applyNumberFormat="1" applyFont="1" applyFill="1" applyBorder="1" applyAlignment="1">
      <alignment vertical="center" wrapText="1"/>
    </xf>
    <xf numFmtId="166" fontId="5" fillId="0" borderId="28" xfId="1" applyNumberFormat="1" applyFont="1" applyFill="1" applyBorder="1" applyAlignment="1">
      <alignment vertical="center" wrapText="1"/>
    </xf>
    <xf numFmtId="166" fontId="5" fillId="5" borderId="44" xfId="1" applyNumberFormat="1" applyFont="1" applyFill="1" applyBorder="1" applyAlignment="1">
      <alignment vertical="center" wrapText="1"/>
    </xf>
    <xf numFmtId="0" fontId="5" fillId="6" borderId="9" xfId="1" applyFont="1" applyFill="1" applyBorder="1" applyAlignment="1" applyProtection="1">
      <alignment vertical="center" wrapText="1"/>
    </xf>
    <xf numFmtId="166" fontId="5" fillId="5" borderId="23" xfId="1" applyNumberFormat="1" applyFont="1" applyFill="1" applyBorder="1" applyAlignment="1">
      <alignment vertical="center" wrapText="1"/>
    </xf>
    <xf numFmtId="0" fontId="5" fillId="5" borderId="18" xfId="1" applyFont="1" applyFill="1" applyBorder="1" applyAlignment="1" applyProtection="1">
      <alignment horizontal="left" vertical="center" wrapText="1"/>
    </xf>
    <xf numFmtId="166" fontId="5" fillId="5" borderId="24" xfId="1" applyNumberFormat="1" applyFont="1" applyFill="1" applyBorder="1" applyAlignment="1">
      <alignment vertical="center" wrapText="1"/>
    </xf>
    <xf numFmtId="166" fontId="5" fillId="0" borderId="30" xfId="1" applyNumberFormat="1" applyFont="1" applyFill="1" applyBorder="1" applyAlignment="1">
      <alignment vertical="center" wrapText="1"/>
    </xf>
    <xf numFmtId="166" fontId="5" fillId="0" borderId="37" xfId="1" applyNumberFormat="1" applyFont="1" applyFill="1" applyBorder="1" applyAlignment="1">
      <alignment vertical="center" wrapText="1"/>
    </xf>
    <xf numFmtId="166" fontId="5" fillId="6" borderId="38" xfId="1" applyNumberFormat="1" applyFont="1" applyFill="1" applyBorder="1" applyAlignment="1">
      <alignment vertical="center" wrapText="1"/>
    </xf>
    <xf numFmtId="0" fontId="5" fillId="7" borderId="46" xfId="1" applyFont="1" applyFill="1" applyBorder="1" applyAlignment="1" applyProtection="1">
      <alignment vertical="center" wrapText="1"/>
    </xf>
    <xf numFmtId="166" fontId="5" fillId="7" borderId="47" xfId="1" applyNumberFormat="1" applyFont="1" applyFill="1" applyBorder="1" applyAlignment="1">
      <alignment vertical="center" wrapText="1"/>
    </xf>
    <xf numFmtId="0" fontId="4" fillId="0" borderId="4" xfId="1" applyFont="1" applyFill="1" applyBorder="1" applyAlignment="1">
      <alignment vertical="center" wrapText="1"/>
    </xf>
    <xf numFmtId="0" fontId="4" fillId="0" borderId="1" xfId="1" applyFont="1" applyBorder="1" applyAlignment="1">
      <alignment horizontal="justify" wrapText="1"/>
    </xf>
    <xf numFmtId="0" fontId="4" fillId="0" borderId="4" xfId="1" applyFont="1" applyBorder="1" applyAlignment="1">
      <alignment horizontal="justify" vertical="center" wrapText="1"/>
    </xf>
    <xf numFmtId="0" fontId="4" fillId="0" borderId="1" xfId="1" applyFont="1" applyBorder="1" applyAlignment="1">
      <alignment wrapText="1"/>
    </xf>
    <xf numFmtId="0" fontId="4" fillId="0" borderId="7" xfId="1" applyFont="1" applyBorder="1" applyAlignment="1">
      <alignment wrapText="1"/>
    </xf>
    <xf numFmtId="0" fontId="4" fillId="0" borderId="4" xfId="1" applyFont="1" applyBorder="1" applyAlignment="1">
      <alignment wrapText="1"/>
    </xf>
    <xf numFmtId="166" fontId="10" fillId="0" borderId="65" xfId="1" applyNumberFormat="1" applyFont="1" applyFill="1" applyBorder="1" applyAlignment="1">
      <alignment vertical="center" wrapText="1"/>
    </xf>
    <xf numFmtId="0" fontId="4" fillId="0" borderId="1" xfId="1" applyFont="1" applyFill="1" applyBorder="1" applyAlignment="1">
      <alignment horizontal="right" vertical="center" wrapText="1"/>
    </xf>
    <xf numFmtId="0" fontId="4" fillId="0" borderId="0" xfId="1" applyFont="1" applyFill="1"/>
    <xf numFmtId="166" fontId="5" fillId="0" borderId="66" xfId="1" applyNumberFormat="1" applyFont="1" applyFill="1" applyBorder="1" applyAlignment="1">
      <alignment vertical="center"/>
    </xf>
    <xf numFmtId="0" fontId="4" fillId="0" borderId="0" xfId="6" applyFont="1"/>
    <xf numFmtId="0" fontId="5" fillId="0" borderId="19" xfId="6" applyFont="1" applyBorder="1"/>
    <xf numFmtId="167" fontId="4" fillId="0" borderId="19" xfId="6" applyNumberFormat="1" applyFont="1" applyBorder="1"/>
    <xf numFmtId="9" fontId="5" fillId="0" borderId="19" xfId="6" applyNumberFormat="1" applyFont="1" applyBorder="1"/>
    <xf numFmtId="167" fontId="4" fillId="0" borderId="0" xfId="6" applyNumberFormat="1" applyFont="1" applyBorder="1"/>
    <xf numFmtId="0" fontId="4" fillId="0" borderId="0" xfId="6" applyFont="1" applyBorder="1"/>
    <xf numFmtId="49" fontId="4" fillId="0" borderId="19" xfId="6" applyNumberFormat="1" applyFont="1" applyBorder="1" applyAlignment="1">
      <alignment horizontal="right"/>
    </xf>
    <xf numFmtId="9" fontId="4" fillId="0" borderId="19" xfId="6" applyNumberFormat="1" applyFont="1" applyBorder="1"/>
    <xf numFmtId="0" fontId="4" fillId="0" borderId="19" xfId="6" applyFont="1" applyBorder="1"/>
    <xf numFmtId="166" fontId="5" fillId="0" borderId="19" xfId="6" applyNumberFormat="1" applyFont="1" applyBorder="1"/>
    <xf numFmtId="166" fontId="4" fillId="0" borderId="19" xfId="6" applyNumberFormat="1" applyFont="1" applyBorder="1"/>
    <xf numFmtId="0" fontId="4" fillId="0" borderId="19" xfId="2" applyFont="1" applyFill="1" applyBorder="1" applyAlignment="1" applyProtection="1">
      <alignment horizontal="left"/>
    </xf>
    <xf numFmtId="49" fontId="4" fillId="0" borderId="19" xfId="6" applyNumberFormat="1" applyFont="1" applyBorder="1"/>
    <xf numFmtId="166" fontId="15" fillId="5" borderId="39" xfId="1" applyNumberFormat="1" applyFont="1" applyFill="1" applyBorder="1" applyAlignment="1">
      <alignment vertical="center"/>
    </xf>
    <xf numFmtId="3" fontId="16" fillId="0" borderId="19" xfId="1" applyNumberFormat="1" applyFont="1" applyFill="1" applyBorder="1" applyAlignment="1">
      <alignment vertical="center"/>
    </xf>
    <xf numFmtId="166" fontId="16" fillId="0" borderId="19" xfId="1" applyNumberFormat="1" applyFont="1" applyFill="1" applyBorder="1" applyAlignment="1">
      <alignment vertical="center"/>
    </xf>
    <xf numFmtId="3" fontId="16" fillId="0" borderId="2" xfId="1" applyNumberFormat="1" applyFont="1" applyFill="1" applyBorder="1" applyAlignment="1">
      <alignment vertical="center"/>
    </xf>
    <xf numFmtId="166" fontId="16" fillId="0" borderId="2" xfId="1" applyNumberFormat="1" applyFont="1" applyFill="1" applyBorder="1" applyAlignment="1">
      <alignment vertical="center"/>
    </xf>
    <xf numFmtId="166" fontId="15" fillId="5" borderId="39" xfId="1" applyNumberFormat="1" applyFont="1" applyFill="1" applyBorder="1" applyAlignment="1">
      <alignment vertical="center" wrapText="1"/>
    </xf>
    <xf numFmtId="3" fontId="17" fillId="0" borderId="19" xfId="1" applyNumberFormat="1" applyFont="1" applyFill="1" applyBorder="1" applyAlignment="1">
      <alignment vertical="center" wrapText="1"/>
    </xf>
    <xf numFmtId="4" fontId="17" fillId="0" borderId="19" xfId="1" applyNumberFormat="1" applyFont="1" applyFill="1" applyBorder="1" applyAlignment="1">
      <alignment vertical="center" wrapText="1"/>
    </xf>
    <xf numFmtId="166" fontId="17" fillId="0" borderId="13" xfId="1" applyNumberFormat="1" applyFont="1" applyFill="1" applyBorder="1" applyAlignment="1">
      <alignment vertical="center" wrapText="1"/>
    </xf>
    <xf numFmtId="3" fontId="17" fillId="0" borderId="36" xfId="1" applyNumberFormat="1" applyFont="1" applyFill="1" applyBorder="1" applyAlignment="1">
      <alignment vertical="center" wrapText="1"/>
    </xf>
    <xf numFmtId="4" fontId="17" fillId="0" borderId="36" xfId="1" applyNumberFormat="1" applyFont="1" applyFill="1" applyBorder="1" applyAlignment="1">
      <alignment vertical="center" wrapText="1"/>
    </xf>
    <xf numFmtId="166" fontId="17" fillId="0" borderId="2" xfId="1" applyNumberFormat="1" applyFont="1" applyFill="1" applyBorder="1" applyAlignment="1">
      <alignment vertical="center" wrapText="1"/>
    </xf>
    <xf numFmtId="4" fontId="17" fillId="0" borderId="2" xfId="1" applyNumberFormat="1" applyFont="1" applyFill="1" applyBorder="1" applyAlignment="1">
      <alignment vertical="center" wrapText="1"/>
    </xf>
    <xf numFmtId="166" fontId="15" fillId="5" borderId="23" xfId="1" applyNumberFormat="1" applyFont="1" applyFill="1" applyBorder="1" applyAlignment="1">
      <alignment vertical="center"/>
    </xf>
    <xf numFmtId="3" fontId="16" fillId="0" borderId="28" xfId="1" applyNumberFormat="1" applyFont="1" applyFill="1" applyBorder="1" applyAlignment="1">
      <alignment vertical="center"/>
    </xf>
    <xf numFmtId="166" fontId="16" fillId="0" borderId="28" xfId="1" applyNumberFormat="1" applyFont="1" applyFill="1" applyBorder="1" applyAlignment="1">
      <alignment vertical="center"/>
    </xf>
    <xf numFmtId="166" fontId="15" fillId="0" borderId="31" xfId="1" applyNumberFormat="1" applyFont="1" applyFill="1" applyBorder="1" applyAlignment="1">
      <alignment vertical="center"/>
    </xf>
    <xf numFmtId="3" fontId="16" fillId="0" borderId="31" xfId="1" applyNumberFormat="1" applyFont="1" applyFill="1" applyBorder="1" applyAlignment="1">
      <alignment vertical="center"/>
    </xf>
    <xf numFmtId="166" fontId="16" fillId="0" borderId="31" xfId="1" applyNumberFormat="1" applyFont="1" applyFill="1" applyBorder="1" applyAlignment="1">
      <alignment vertical="center"/>
    </xf>
    <xf numFmtId="166" fontId="15" fillId="0" borderId="21" xfId="1" applyNumberFormat="1" applyFont="1" applyFill="1" applyBorder="1" applyAlignment="1">
      <alignment vertical="center" wrapText="1"/>
    </xf>
    <xf numFmtId="166" fontId="15" fillId="0" borderId="20" xfId="1" applyNumberFormat="1" applyFont="1" applyFill="1" applyBorder="1" applyAlignment="1">
      <alignment vertical="center" wrapText="1"/>
    </xf>
    <xf numFmtId="3" fontId="16" fillId="5" borderId="44" xfId="1" applyNumberFormat="1" applyFont="1" applyFill="1" applyBorder="1" applyAlignment="1">
      <alignment vertical="center"/>
    </xf>
    <xf numFmtId="166" fontId="16" fillId="5" borderId="44" xfId="1" applyNumberFormat="1" applyFont="1" applyFill="1" applyBorder="1" applyAlignment="1">
      <alignment vertical="center"/>
    </xf>
    <xf numFmtId="166" fontId="5" fillId="0" borderId="19" xfId="1" applyNumberFormat="1" applyFont="1" applyFill="1" applyBorder="1" applyAlignment="1">
      <alignment vertical="center"/>
    </xf>
    <xf numFmtId="166" fontId="5" fillId="5" borderId="23" xfId="1" applyNumberFormat="1" applyFont="1" applyFill="1" applyBorder="1" applyAlignment="1">
      <alignment vertical="center"/>
    </xf>
    <xf numFmtId="166" fontId="5" fillId="0" borderId="13" xfId="1" applyNumberFormat="1" applyFont="1" applyFill="1" applyBorder="1" applyAlignment="1">
      <alignment vertical="center"/>
    </xf>
    <xf numFmtId="3" fontId="4" fillId="0" borderId="19" xfId="1" applyNumberFormat="1" applyFont="1" applyFill="1" applyBorder="1" applyAlignment="1">
      <alignment vertical="center"/>
    </xf>
    <xf numFmtId="166" fontId="5" fillId="5" borderId="15" xfId="1" applyNumberFormat="1" applyFont="1" applyFill="1" applyBorder="1" applyAlignment="1">
      <alignment vertical="center"/>
    </xf>
    <xf numFmtId="166" fontId="5" fillId="0" borderId="21" xfId="1" applyNumberFormat="1" applyFont="1" applyFill="1" applyBorder="1" applyAlignment="1">
      <alignment vertical="center" wrapText="1"/>
    </xf>
    <xf numFmtId="166" fontId="5" fillId="6" borderId="10" xfId="1" applyNumberFormat="1" applyFont="1" applyFill="1" applyBorder="1" applyAlignment="1">
      <alignment vertical="center" wrapText="1"/>
    </xf>
    <xf numFmtId="166" fontId="5" fillId="5" borderId="40" xfId="1" applyNumberFormat="1" applyFont="1" applyFill="1" applyBorder="1" applyAlignment="1">
      <alignment vertical="center"/>
    </xf>
    <xf numFmtId="166" fontId="5" fillId="5" borderId="40" xfId="1" applyNumberFormat="1" applyFont="1" applyFill="1" applyBorder="1" applyAlignment="1">
      <alignment vertical="center" wrapText="1"/>
    </xf>
    <xf numFmtId="166" fontId="5" fillId="5" borderId="15" xfId="1" applyNumberFormat="1" applyFont="1" applyFill="1" applyBorder="1" applyAlignment="1">
      <alignment vertical="center" wrapText="1"/>
    </xf>
    <xf numFmtId="0" fontId="5" fillId="0" borderId="0" xfId="6" applyFont="1" applyAlignment="1">
      <alignment horizontal="center"/>
    </xf>
    <xf numFmtId="0" fontId="5" fillId="0" borderId="0" xfId="6" applyFont="1" applyAlignment="1">
      <alignment horizontal="left"/>
    </xf>
    <xf numFmtId="166" fontId="5" fillId="5" borderId="45" xfId="1" applyNumberFormat="1" applyFont="1" applyFill="1" applyBorder="1" applyAlignment="1">
      <alignment vertical="center" wrapText="1"/>
    </xf>
    <xf numFmtId="166" fontId="5" fillId="6" borderId="11" xfId="1" applyNumberFormat="1" applyFont="1" applyFill="1" applyBorder="1" applyAlignment="1">
      <alignment vertical="center" wrapText="1"/>
    </xf>
    <xf numFmtId="4" fontId="4" fillId="0" borderId="19" xfId="1" applyNumberFormat="1" applyFont="1" applyFill="1" applyBorder="1" applyAlignment="1">
      <alignment vertical="center"/>
    </xf>
    <xf numFmtId="166" fontId="10" fillId="0" borderId="16" xfId="1" applyNumberFormat="1" applyFont="1" applyFill="1" applyBorder="1" applyAlignment="1">
      <alignment vertical="center" wrapText="1"/>
    </xf>
    <xf numFmtId="166" fontId="10" fillId="0" borderId="17" xfId="1" applyNumberFormat="1" applyFont="1" applyFill="1" applyBorder="1" applyAlignment="1">
      <alignment vertical="center" wrapText="1"/>
    </xf>
    <xf numFmtId="166" fontId="5" fillId="0" borderId="16" xfId="1" applyNumberFormat="1" applyFont="1" applyFill="1" applyBorder="1" applyAlignment="1">
      <alignment vertical="center" wrapText="1"/>
    </xf>
    <xf numFmtId="0" fontId="4" fillId="0" borderId="0" xfId="6" applyFont="1" applyAlignment="1" applyProtection="1">
      <alignment vertical="center"/>
    </xf>
    <xf numFmtId="168" fontId="5" fillId="0" borderId="0" xfId="6" applyNumberFormat="1" applyFont="1" applyProtection="1"/>
    <xf numFmtId="168" fontId="4" fillId="0" borderId="0" xfId="6" applyNumberFormat="1" applyFont="1" applyProtection="1"/>
    <xf numFmtId="0" fontId="4" fillId="0" borderId="0" xfId="6" applyFont="1" applyProtection="1"/>
    <xf numFmtId="0" fontId="5" fillId="0" borderId="0" xfId="6" applyFont="1"/>
    <xf numFmtId="0" fontId="23" fillId="0" borderId="0" xfId="6" applyFont="1"/>
    <xf numFmtId="166" fontId="15" fillId="0" borderId="21" xfId="1" applyNumberFormat="1" applyFont="1" applyFill="1" applyBorder="1" applyAlignment="1">
      <alignment vertical="center"/>
    </xf>
    <xf numFmtId="167" fontId="4" fillId="0" borderId="0" xfId="6" applyNumberFormat="1" applyFont="1"/>
    <xf numFmtId="0" fontId="1" fillId="0" borderId="0" xfId="6" applyFont="1"/>
    <xf numFmtId="0" fontId="4" fillId="0" borderId="0" xfId="6" applyFont="1" applyAlignment="1" applyProtection="1">
      <alignment wrapText="1"/>
    </xf>
    <xf numFmtId="0" fontId="5" fillId="0" borderId="0" xfId="6" applyFont="1" applyProtection="1"/>
    <xf numFmtId="0" fontId="4" fillId="0" borderId="14" xfId="6" applyFont="1" applyFill="1" applyBorder="1" applyAlignment="1" applyProtection="1">
      <alignment horizontal="center" vertical="center" wrapText="1"/>
    </xf>
    <xf numFmtId="0" fontId="4" fillId="0" borderId="12" xfId="6" applyFont="1" applyFill="1" applyBorder="1" applyAlignment="1" applyProtection="1">
      <alignment horizontal="center" vertical="center" wrapText="1"/>
    </xf>
    <xf numFmtId="0" fontId="4" fillId="0" borderId="10" xfId="6" applyFont="1" applyFill="1" applyBorder="1" applyAlignment="1" applyProtection="1">
      <alignment horizontal="center" vertical="center"/>
    </xf>
    <xf numFmtId="0" fontId="4" fillId="0" borderId="11" xfId="6" applyFont="1" applyFill="1" applyBorder="1" applyAlignment="1" applyProtection="1">
      <alignment horizontal="center" vertical="center"/>
    </xf>
    <xf numFmtId="0" fontId="4" fillId="0" borderId="15" xfId="6" applyFont="1" applyFill="1" applyBorder="1" applyAlignment="1" applyProtection="1">
      <alignment horizontal="left" vertical="center" wrapText="1"/>
    </xf>
    <xf numFmtId="0" fontId="4" fillId="0" borderId="6" xfId="6" applyFont="1" applyFill="1" applyBorder="1" applyAlignment="1" applyProtection="1">
      <alignment horizontal="center" vertical="center" wrapText="1"/>
    </xf>
    <xf numFmtId="0" fontId="4" fillId="0" borderId="13" xfId="6" applyFont="1" applyFill="1" applyBorder="1" applyAlignment="1" applyProtection="1">
      <alignment horizontal="left" vertical="center" wrapText="1"/>
    </xf>
    <xf numFmtId="0" fontId="4" fillId="0" borderId="1" xfId="6" applyFont="1" applyFill="1" applyBorder="1" applyAlignment="1" applyProtection="1">
      <alignment horizontal="center" vertical="center" wrapText="1"/>
    </xf>
    <xf numFmtId="0" fontId="4" fillId="0" borderId="16" xfId="6" applyFont="1" applyFill="1" applyBorder="1" applyAlignment="1" applyProtection="1">
      <alignment horizontal="left" vertical="center" wrapText="1"/>
    </xf>
    <xf numFmtId="0" fontId="4" fillId="0" borderId="7" xfId="6" applyFont="1" applyFill="1" applyBorder="1" applyAlignment="1" applyProtection="1">
      <alignment horizontal="center" vertical="center" wrapText="1"/>
    </xf>
    <xf numFmtId="168" fontId="4" fillId="0" borderId="6" xfId="6" applyNumberFormat="1" applyFont="1" applyFill="1" applyBorder="1" applyAlignment="1" applyProtection="1">
      <alignment horizontal="center" vertical="center" wrapText="1"/>
    </xf>
    <xf numFmtId="168" fontId="4" fillId="0" borderId="1" xfId="6" applyNumberFormat="1" applyFont="1" applyFill="1" applyBorder="1" applyAlignment="1" applyProtection="1">
      <alignment horizontal="center" vertical="center" wrapText="1"/>
    </xf>
    <xf numFmtId="168" fontId="4" fillId="0" borderId="7" xfId="6" applyNumberFormat="1" applyFont="1" applyFill="1" applyBorder="1" applyAlignment="1" applyProtection="1">
      <alignment horizontal="center" vertical="center" wrapText="1"/>
    </xf>
    <xf numFmtId="0" fontId="4" fillId="0" borderId="17" xfId="6" applyFont="1" applyFill="1" applyBorder="1" applyAlignment="1" applyProtection="1">
      <alignment horizontal="left" vertical="center" wrapText="1"/>
    </xf>
    <xf numFmtId="0" fontId="4" fillId="0" borderId="4" xfId="6" applyFont="1" applyFill="1" applyBorder="1" applyAlignment="1" applyProtection="1">
      <alignment horizontal="center" vertical="center" wrapText="1"/>
    </xf>
    <xf numFmtId="0" fontId="5" fillId="0" borderId="6" xfId="6" applyFont="1" applyFill="1" applyBorder="1" applyAlignment="1" applyProtection="1">
      <alignment horizontal="left" vertical="center" wrapText="1"/>
    </xf>
    <xf numFmtId="0" fontId="5" fillId="0" borderId="7" xfId="6" applyFont="1" applyFill="1" applyBorder="1" applyAlignment="1" applyProtection="1">
      <alignment horizontal="left" vertical="center" wrapText="1"/>
    </xf>
    <xf numFmtId="0" fontId="5" fillId="0" borderId="14" xfId="6" applyFont="1" applyFill="1" applyBorder="1" applyAlignment="1" applyProtection="1">
      <alignment horizontal="center" vertical="center" wrapText="1"/>
    </xf>
    <xf numFmtId="0" fontId="4" fillId="0" borderId="1" xfId="6" applyFont="1" applyFill="1" applyBorder="1" applyAlignment="1" applyProtection="1">
      <alignment horizontal="right" vertical="center" wrapText="1"/>
    </xf>
    <xf numFmtId="0" fontId="4" fillId="0" borderId="7" xfId="6" applyFont="1" applyFill="1" applyBorder="1" applyAlignment="1" applyProtection="1">
      <alignment horizontal="right" vertical="center" wrapText="1"/>
    </xf>
    <xf numFmtId="0" fontId="4" fillId="0" borderId="6" xfId="6" applyFont="1" applyFill="1" applyBorder="1" applyAlignment="1" applyProtection="1">
      <alignment horizontal="left" vertical="center" wrapText="1"/>
    </xf>
    <xf numFmtId="0" fontId="4" fillId="0" borderId="1" xfId="6" applyFont="1" applyFill="1" applyBorder="1" applyAlignment="1" applyProtection="1">
      <alignment horizontal="left" vertical="center" wrapText="1"/>
    </xf>
    <xf numFmtId="0" fontId="4" fillId="0" borderId="7" xfId="6" applyFont="1" applyFill="1" applyBorder="1" applyAlignment="1" applyProtection="1">
      <alignment horizontal="left" vertical="center" wrapText="1"/>
    </xf>
    <xf numFmtId="0" fontId="5" fillId="0" borderId="7" xfId="6" applyFont="1" applyFill="1" applyBorder="1" applyAlignment="1" applyProtection="1">
      <alignment horizontal="left" wrapText="1"/>
    </xf>
    <xf numFmtId="0" fontId="5" fillId="0" borderId="8" xfId="6" applyFont="1" applyFill="1" applyBorder="1" applyAlignment="1" applyProtection="1">
      <alignment horizontal="center" vertical="center" wrapText="1"/>
    </xf>
    <xf numFmtId="0" fontId="5" fillId="0" borderId="14" xfId="6" applyFont="1" applyFill="1" applyBorder="1" applyAlignment="1" applyProtection="1">
      <alignment horizontal="left" vertical="center" wrapText="1"/>
    </xf>
    <xf numFmtId="0" fontId="4" fillId="0" borderId="4" xfId="6" applyFont="1" applyFill="1" applyBorder="1" applyAlignment="1" applyProtection="1">
      <alignment horizontal="left" vertical="center" wrapText="1"/>
    </xf>
    <xf numFmtId="0" fontId="5" fillId="0" borderId="8" xfId="6" applyFont="1" applyFill="1" applyBorder="1" applyAlignment="1" applyProtection="1">
      <alignment horizontal="left" wrapText="1"/>
    </xf>
    <xf numFmtId="0" fontId="4" fillId="0" borderId="18" xfId="6" applyFont="1" applyFill="1" applyBorder="1" applyAlignment="1" applyProtection="1">
      <alignment horizontal="center" vertical="center" wrapText="1"/>
    </xf>
    <xf numFmtId="174" fontId="5" fillId="0" borderId="0" xfId="9" applyNumberFormat="1" applyFont="1" applyProtection="1"/>
    <xf numFmtId="0" fontId="25" fillId="0" borderId="0" xfId="6" applyFont="1" applyAlignment="1" applyProtection="1">
      <alignment wrapText="1"/>
    </xf>
    <xf numFmtId="0" fontId="25" fillId="0" borderId="0" xfId="6" applyFont="1" applyAlignment="1" applyProtection="1">
      <alignment vertical="center"/>
    </xf>
    <xf numFmtId="168" fontId="24" fillId="0" borderId="0" xfId="6" applyNumberFormat="1" applyFont="1" applyProtection="1"/>
    <xf numFmtId="168" fontId="4" fillId="9" borderId="0" xfId="6" applyNumberFormat="1" applyFont="1" applyFill="1" applyProtection="1"/>
    <xf numFmtId="168" fontId="24" fillId="9" borderId="0" xfId="6" applyNumberFormat="1" applyFont="1" applyFill="1" applyProtection="1"/>
    <xf numFmtId="0" fontId="21" fillId="0" borderId="0" xfId="1" applyFont="1"/>
    <xf numFmtId="166" fontId="5" fillId="0" borderId="22" xfId="6" applyNumberFormat="1" applyFont="1" applyFill="1" applyBorder="1" applyAlignment="1">
      <alignment vertical="center"/>
    </xf>
    <xf numFmtId="166" fontId="5" fillId="0" borderId="19" xfId="6" applyNumberFormat="1" applyFont="1" applyFill="1" applyBorder="1" applyAlignment="1">
      <alignment vertical="center"/>
    </xf>
    <xf numFmtId="3" fontId="10" fillId="0" borderId="19" xfId="6" applyNumberFormat="1" applyFont="1" applyFill="1" applyBorder="1" applyAlignment="1">
      <alignment vertical="center"/>
    </xf>
    <xf numFmtId="166" fontId="10" fillId="0" borderId="19" xfId="6" applyNumberFormat="1" applyFont="1" applyFill="1" applyBorder="1" applyAlignment="1">
      <alignment vertical="center"/>
    </xf>
    <xf numFmtId="166" fontId="5" fillId="0" borderId="13" xfId="6" applyNumberFormat="1" applyFont="1" applyFill="1" applyBorder="1" applyAlignment="1">
      <alignment vertical="center"/>
    </xf>
    <xf numFmtId="166" fontId="5" fillId="0" borderId="25" xfId="6" applyNumberFormat="1" applyFont="1" applyFill="1" applyBorder="1" applyAlignment="1">
      <alignment vertical="center"/>
    </xf>
    <xf numFmtId="3" fontId="10" fillId="0" borderId="2" xfId="6" applyNumberFormat="1" applyFont="1" applyFill="1" applyBorder="1" applyAlignment="1">
      <alignment vertical="center"/>
    </xf>
    <xf numFmtId="166" fontId="10" fillId="0" borderId="2" xfId="6" applyNumberFormat="1" applyFont="1" applyFill="1" applyBorder="1" applyAlignment="1">
      <alignment vertical="center"/>
    </xf>
    <xf numFmtId="166" fontId="5" fillId="0" borderId="16" xfId="6" applyNumberFormat="1" applyFont="1" applyFill="1" applyBorder="1" applyAlignment="1">
      <alignment vertical="center"/>
    </xf>
    <xf numFmtId="166" fontId="4" fillId="0" borderId="42" xfId="6" applyNumberFormat="1" applyFont="1" applyFill="1" applyBorder="1" applyAlignment="1">
      <alignment vertical="center" wrapText="1"/>
    </xf>
    <xf numFmtId="166" fontId="4" fillId="0" borderId="13" xfId="6" applyNumberFormat="1" applyFont="1" applyFill="1" applyBorder="1" applyAlignment="1">
      <alignment vertical="center" wrapText="1"/>
    </xf>
    <xf numFmtId="166" fontId="10" fillId="0" borderId="42" xfId="6" applyNumberFormat="1" applyFont="1" applyFill="1" applyBorder="1" applyAlignment="1">
      <alignment vertical="center" wrapText="1"/>
    </xf>
    <xf numFmtId="3" fontId="10" fillId="0" borderId="19" xfId="6" applyNumberFormat="1" applyFont="1" applyFill="1" applyBorder="1" applyAlignment="1">
      <alignment vertical="center" wrapText="1"/>
    </xf>
    <xf numFmtId="4" fontId="10" fillId="0" borderId="19" xfId="6" applyNumberFormat="1" applyFont="1" applyFill="1" applyBorder="1" applyAlignment="1">
      <alignment vertical="center" wrapText="1"/>
    </xf>
    <xf numFmtId="166" fontId="10" fillId="0" borderId="13" xfId="6" applyNumberFormat="1" applyFont="1" applyFill="1" applyBorder="1" applyAlignment="1">
      <alignment vertical="center" wrapText="1"/>
    </xf>
    <xf numFmtId="166" fontId="5" fillId="0" borderId="37" xfId="6" applyNumberFormat="1" applyFont="1" applyFill="1" applyBorder="1" applyAlignment="1">
      <alignment vertical="center"/>
    </xf>
    <xf numFmtId="4" fontId="10" fillId="0" borderId="2" xfId="6" applyNumberFormat="1" applyFont="1" applyFill="1" applyBorder="1" applyAlignment="1">
      <alignment vertical="center"/>
    </xf>
    <xf numFmtId="173" fontId="10" fillId="0" borderId="19" xfId="6" applyNumberFormat="1" applyFont="1" applyFill="1" applyBorder="1" applyAlignment="1">
      <alignment vertical="center"/>
    </xf>
    <xf numFmtId="166" fontId="5" fillId="0" borderId="35" xfId="6" applyNumberFormat="1" applyFont="1" applyFill="1" applyBorder="1" applyAlignment="1">
      <alignment vertical="center"/>
    </xf>
    <xf numFmtId="3" fontId="10" fillId="0" borderId="36" xfId="6" applyNumberFormat="1" applyFont="1" applyFill="1" applyBorder="1" applyAlignment="1">
      <alignment vertical="center"/>
    </xf>
    <xf numFmtId="166" fontId="10" fillId="0" borderId="36" xfId="6" applyNumberFormat="1" applyFont="1" applyFill="1" applyBorder="1" applyAlignment="1">
      <alignment vertical="center"/>
    </xf>
    <xf numFmtId="166" fontId="5" fillId="0" borderId="17" xfId="6" applyNumberFormat="1" applyFont="1" applyFill="1" applyBorder="1" applyAlignment="1">
      <alignment vertical="center"/>
    </xf>
    <xf numFmtId="4" fontId="10" fillId="0" borderId="36" xfId="6" applyNumberFormat="1" applyFont="1" applyFill="1" applyBorder="1" applyAlignment="1">
      <alignment vertical="center"/>
    </xf>
    <xf numFmtId="166" fontId="5" fillId="6" borderId="37" xfId="1" applyNumberFormat="1" applyFont="1" applyFill="1" applyBorder="1" applyAlignment="1">
      <alignment vertical="center"/>
    </xf>
    <xf numFmtId="166" fontId="5" fillId="0" borderId="25" xfId="6" applyNumberFormat="1" applyFont="1" applyFill="1" applyBorder="1" applyAlignment="1">
      <alignment vertical="center" wrapText="1"/>
    </xf>
    <xf numFmtId="166" fontId="5" fillId="0" borderId="16" xfId="6" applyNumberFormat="1" applyFont="1" applyFill="1" applyBorder="1" applyAlignment="1">
      <alignment vertical="center" wrapText="1"/>
    </xf>
    <xf numFmtId="166" fontId="5" fillId="0" borderId="31" xfId="6" applyNumberFormat="1" applyFont="1" applyFill="1" applyBorder="1" applyAlignment="1">
      <alignment vertical="center" wrapText="1"/>
    </xf>
    <xf numFmtId="3" fontId="10" fillId="0" borderId="31" xfId="6" applyNumberFormat="1" applyFont="1" applyFill="1" applyBorder="1" applyAlignment="1">
      <alignment vertical="center"/>
    </xf>
    <xf numFmtId="166" fontId="10" fillId="0" borderId="31" xfId="6" applyNumberFormat="1" applyFont="1" applyFill="1" applyBorder="1" applyAlignment="1">
      <alignment vertical="center"/>
    </xf>
    <xf numFmtId="166" fontId="5" fillId="0" borderId="21" xfId="6" applyNumberFormat="1" applyFont="1" applyFill="1" applyBorder="1" applyAlignment="1">
      <alignment vertical="center" wrapText="1"/>
    </xf>
    <xf numFmtId="0" fontId="18" fillId="0" borderId="0" xfId="6" applyFont="1"/>
    <xf numFmtId="2" fontId="22" fillId="5" borderId="19" xfId="6" applyNumberFormat="1" applyFont="1" applyFill="1" applyBorder="1" applyAlignment="1" applyProtection="1">
      <alignment horizontal="center" vertical="center" wrapText="1"/>
    </xf>
    <xf numFmtId="171" fontId="20" fillId="5" borderId="19" xfId="6" applyNumberFormat="1" applyFont="1" applyFill="1" applyBorder="1" applyAlignment="1" applyProtection="1">
      <alignment horizontal="center" vertical="center" wrapText="1"/>
      <protection locked="0"/>
    </xf>
    <xf numFmtId="171" fontId="20" fillId="5" borderId="19" xfId="6" applyNumberFormat="1" applyFont="1" applyFill="1" applyBorder="1" applyAlignment="1" applyProtection="1">
      <alignment horizontal="center" vertical="center" wrapText="1"/>
    </xf>
    <xf numFmtId="171" fontId="20" fillId="5" borderId="23" xfId="6" applyNumberFormat="1" applyFont="1" applyFill="1" applyBorder="1" applyAlignment="1" applyProtection="1">
      <alignment horizontal="center" vertical="center" wrapText="1"/>
      <protection locked="0"/>
    </xf>
    <xf numFmtId="166" fontId="20" fillId="5" borderId="19" xfId="6" applyNumberFormat="1" applyFont="1" applyFill="1" applyBorder="1" applyAlignment="1" applyProtection="1">
      <alignment horizontal="center" vertical="center" wrapText="1"/>
      <protection locked="0"/>
    </xf>
    <xf numFmtId="4" fontId="20" fillId="5" borderId="19" xfId="6" applyNumberFormat="1" applyFont="1" applyFill="1" applyBorder="1" applyAlignment="1" applyProtection="1">
      <alignment horizontal="center" vertical="center" wrapText="1"/>
    </xf>
    <xf numFmtId="166" fontId="20" fillId="5" borderId="10" xfId="6" applyNumberFormat="1" applyFont="1" applyFill="1" applyBorder="1" applyAlignment="1" applyProtection="1">
      <alignment horizontal="center" vertical="center" wrapText="1"/>
      <protection locked="0"/>
    </xf>
    <xf numFmtId="166" fontId="20" fillId="5" borderId="24" xfId="6" applyNumberFormat="1" applyFont="1" applyFill="1" applyBorder="1" applyAlignment="1" applyProtection="1">
      <alignment horizontal="center" vertical="center" wrapText="1"/>
      <protection locked="0"/>
    </xf>
    <xf numFmtId="166" fontId="20" fillId="5" borderId="15" xfId="6" applyNumberFormat="1" applyFont="1" applyFill="1" applyBorder="1" applyAlignment="1" applyProtection="1">
      <alignment horizontal="center" vertical="center" wrapText="1"/>
      <protection locked="0"/>
    </xf>
    <xf numFmtId="0" fontId="4" fillId="0" borderId="0" xfId="6" applyFont="1" applyAlignment="1" applyProtection="1">
      <alignment vertical="center" wrapText="1"/>
      <protection locked="0"/>
    </xf>
    <xf numFmtId="0" fontId="4" fillId="0" borderId="0" xfId="6" applyFont="1" applyProtection="1">
      <protection locked="0"/>
    </xf>
    <xf numFmtId="0" fontId="1" fillId="0" borderId="0" xfId="6" applyFont="1" applyAlignment="1" applyProtection="1">
      <protection locked="0"/>
    </xf>
    <xf numFmtId="0" fontId="4" fillId="0" borderId="0" xfId="6" applyFont="1" applyAlignment="1" applyProtection="1">
      <alignment horizontal="center" vertical="center"/>
      <protection locked="0"/>
    </xf>
    <xf numFmtId="0" fontId="4" fillId="0" borderId="0" xfId="6" applyFont="1" applyAlignment="1" applyProtection="1">
      <alignment vertical="center"/>
      <protection locked="0"/>
    </xf>
    <xf numFmtId="0" fontId="4" fillId="0" borderId="0" xfId="6" applyFont="1" applyBorder="1" applyAlignment="1" applyProtection="1">
      <alignment horizontal="center" vertical="justify"/>
      <protection locked="0"/>
    </xf>
    <xf numFmtId="0" fontId="2" fillId="0" borderId="0" xfId="6" applyFont="1" applyAlignment="1" applyProtection="1">
      <alignment horizontal="left" vertical="center" wrapText="1"/>
      <protection locked="0"/>
    </xf>
    <xf numFmtId="0" fontId="6" fillId="0" borderId="0" xfId="6" applyFont="1" applyAlignment="1" applyProtection="1">
      <protection locked="0"/>
    </xf>
    <xf numFmtId="0" fontId="2" fillId="0" borderId="0" xfId="6" applyFont="1" applyBorder="1" applyAlignment="1" applyProtection="1">
      <alignment horizontal="left" vertical="center" wrapText="1"/>
      <protection locked="0"/>
    </xf>
    <xf numFmtId="166" fontId="19" fillId="5" borderId="24" xfId="1" applyNumberFormat="1" applyFont="1" applyFill="1" applyBorder="1" applyAlignment="1">
      <alignment vertical="center"/>
    </xf>
    <xf numFmtId="171" fontId="21" fillId="0" borderId="28" xfId="1" applyNumberFormat="1" applyFont="1" applyFill="1" applyBorder="1" applyAlignment="1">
      <alignment vertical="center"/>
    </xf>
    <xf numFmtId="166" fontId="26" fillId="0" borderId="28" xfId="6" applyNumberFormat="1" applyFont="1" applyFill="1" applyBorder="1" applyAlignment="1">
      <alignment vertical="center"/>
    </xf>
    <xf numFmtId="166" fontId="19" fillId="0" borderId="20" xfId="1" applyNumberFormat="1" applyFont="1" applyFill="1" applyBorder="1" applyAlignment="1">
      <alignment vertical="center"/>
    </xf>
    <xf numFmtId="0" fontId="4" fillId="8" borderId="1" xfId="6" applyFont="1" applyFill="1" applyBorder="1" applyAlignment="1">
      <alignment vertical="center" wrapText="1"/>
    </xf>
    <xf numFmtId="166" fontId="5" fillId="8" borderId="22" xfId="6" applyNumberFormat="1" applyFont="1" applyFill="1" applyBorder="1" applyAlignment="1">
      <alignment vertical="center"/>
    </xf>
    <xf numFmtId="3" fontId="10" fillId="8" borderId="19" xfId="6" applyNumberFormat="1" applyFont="1" applyFill="1" applyBorder="1" applyAlignment="1">
      <alignment vertical="center"/>
    </xf>
    <xf numFmtId="166" fontId="10" fillId="8" borderId="19" xfId="6" applyNumberFormat="1" applyFont="1" applyFill="1" applyBorder="1" applyAlignment="1">
      <alignment vertical="center"/>
    </xf>
    <xf numFmtId="0" fontId="4" fillId="8" borderId="0" xfId="1" applyFont="1" applyFill="1"/>
    <xf numFmtId="167" fontId="4" fillId="8" borderId="19" xfId="6" applyNumberFormat="1" applyFont="1" applyFill="1" applyBorder="1"/>
    <xf numFmtId="175" fontId="4" fillId="0" borderId="19" xfId="8" applyNumberFormat="1" applyFont="1" applyFill="1" applyBorder="1"/>
    <xf numFmtId="166" fontId="19" fillId="0" borderId="21" xfId="1" applyNumberFormat="1" applyFont="1" applyFill="1" applyBorder="1" applyAlignment="1">
      <alignment vertical="center" wrapText="1"/>
    </xf>
    <xf numFmtId="170" fontId="5" fillId="0" borderId="0" xfId="6" applyNumberFormat="1" applyFont="1" applyProtection="1"/>
    <xf numFmtId="0" fontId="4" fillId="0" borderId="0" xfId="1" applyFont="1" applyAlignment="1">
      <alignment wrapText="1"/>
    </xf>
    <xf numFmtId="0" fontId="2" fillId="0" borderId="0" xfId="6" applyFont="1" applyBorder="1" applyAlignment="1" applyProtection="1">
      <alignment horizontal="left"/>
      <protection locked="0"/>
    </xf>
    <xf numFmtId="166" fontId="21" fillId="8" borderId="0" xfId="6" applyNumberFormat="1" applyFont="1" applyFill="1"/>
    <xf numFmtId="166" fontId="4" fillId="8" borderId="0" xfId="6" applyNumberFormat="1" applyFont="1" applyFill="1"/>
    <xf numFmtId="166" fontId="20" fillId="4" borderId="4" xfId="6" applyNumberFormat="1" applyFont="1" applyFill="1" applyBorder="1" applyAlignment="1" applyProtection="1">
      <alignment horizontal="right" vertical="center" wrapText="1" indent="1"/>
    </xf>
    <xf numFmtId="166" fontId="20" fillId="5" borderId="35" xfId="6" applyNumberFormat="1" applyFont="1" applyFill="1" applyBorder="1" applyAlignment="1" applyProtection="1">
      <alignment horizontal="right" vertical="center" wrapText="1" indent="1"/>
    </xf>
    <xf numFmtId="170" fontId="20" fillId="5" borderId="36" xfId="6" applyNumberFormat="1" applyFont="1" applyFill="1" applyBorder="1" applyAlignment="1" applyProtection="1">
      <alignment horizontal="right" vertical="center" wrapText="1" indent="1"/>
      <protection locked="0"/>
    </xf>
    <xf numFmtId="166" fontId="20" fillId="5" borderId="17" xfId="6" applyNumberFormat="1" applyFont="1" applyFill="1" applyBorder="1" applyAlignment="1" applyProtection="1">
      <alignment horizontal="right" vertical="center" wrapText="1" indent="1"/>
      <protection locked="0"/>
    </xf>
    <xf numFmtId="0" fontId="2" fillId="0" borderId="0" xfId="6" applyFont="1" applyBorder="1" applyAlignment="1" applyProtection="1">
      <alignment horizontal="left" vertical="center" wrapText="1"/>
      <protection locked="0"/>
    </xf>
    <xf numFmtId="0" fontId="19" fillId="0" borderId="68" xfId="6" applyFont="1" applyFill="1" applyBorder="1" applyAlignment="1" applyProtection="1">
      <alignment horizontal="center" vertical="center" wrapText="1"/>
    </xf>
    <xf numFmtId="166" fontId="15" fillId="6" borderId="72" xfId="1" applyNumberFormat="1" applyFont="1" applyFill="1" applyBorder="1" applyAlignment="1">
      <alignment vertical="center"/>
    </xf>
    <xf numFmtId="166" fontId="5" fillId="6" borderId="73" xfId="1" applyNumberFormat="1" applyFont="1" applyFill="1" applyBorder="1" applyAlignment="1">
      <alignment vertical="center"/>
    </xf>
    <xf numFmtId="1" fontId="5" fillId="6" borderId="8" xfId="1" applyNumberFormat="1" applyFont="1" applyFill="1" applyBorder="1" applyAlignment="1" applyProtection="1">
      <alignment vertical="center" wrapText="1"/>
    </xf>
    <xf numFmtId="3" fontId="5" fillId="0" borderId="14" xfId="1" applyNumberFormat="1" applyFont="1" applyFill="1" applyBorder="1" applyAlignment="1">
      <alignment horizontal="center" vertical="center" wrapText="1"/>
    </xf>
    <xf numFmtId="0" fontId="5" fillId="0" borderId="14" xfId="1" applyFont="1" applyFill="1" applyBorder="1" applyAlignment="1">
      <alignment horizontal="center" vertical="center" wrapText="1"/>
    </xf>
    <xf numFmtId="49" fontId="5" fillId="0" borderId="0" xfId="6" applyNumberFormat="1" applyFont="1" applyBorder="1" applyAlignment="1">
      <alignment horizontal="right"/>
    </xf>
    <xf numFmtId="0" fontId="5" fillId="0" borderId="6" xfId="6" applyFont="1" applyFill="1" applyBorder="1" applyAlignment="1" applyProtection="1">
      <alignment horizontal="center" vertical="center" wrapText="1"/>
    </xf>
    <xf numFmtId="0" fontId="5" fillId="0" borderId="7" xfId="6" applyFont="1" applyFill="1" applyBorder="1" applyAlignment="1" applyProtection="1">
      <alignment horizontal="center" vertical="center" wrapText="1"/>
    </xf>
    <xf numFmtId="0" fontId="5" fillId="0" borderId="9" xfId="6" applyFont="1" applyFill="1" applyBorder="1" applyAlignment="1" applyProtection="1">
      <alignment horizontal="center" vertical="center" wrapText="1"/>
    </xf>
    <xf numFmtId="4" fontId="5" fillId="0" borderId="24" xfId="6" applyNumberFormat="1" applyFont="1" applyFill="1" applyBorder="1" applyProtection="1">
      <protection locked="0"/>
    </xf>
    <xf numFmtId="2" fontId="5" fillId="0" borderId="23" xfId="6" applyNumberFormat="1" applyFont="1" applyFill="1" applyBorder="1" applyAlignment="1" applyProtection="1">
      <alignment horizontal="right" vertical="center"/>
    </xf>
    <xf numFmtId="2" fontId="5" fillId="0" borderId="15" xfId="6" applyNumberFormat="1" applyFont="1" applyFill="1" applyBorder="1" applyAlignment="1" applyProtection="1">
      <alignment horizontal="right" vertical="center"/>
    </xf>
    <xf numFmtId="4" fontId="5" fillId="0" borderId="22" xfId="6" applyNumberFormat="1" applyFont="1" applyFill="1" applyBorder="1" applyProtection="1">
      <protection locked="0"/>
    </xf>
    <xf numFmtId="2" fontId="5" fillId="0" borderId="19" xfId="6" applyNumberFormat="1" applyFont="1" applyFill="1" applyBorder="1" applyAlignment="1" applyProtection="1">
      <alignment horizontal="right" vertical="center"/>
    </xf>
    <xf numFmtId="2" fontId="5" fillId="0" borderId="13" xfId="6" applyNumberFormat="1" applyFont="1" applyFill="1" applyBorder="1" applyAlignment="1" applyProtection="1">
      <alignment horizontal="right" vertical="center"/>
    </xf>
    <xf numFmtId="4" fontId="5" fillId="0" borderId="19" xfId="6" applyNumberFormat="1" applyFont="1" applyFill="1" applyBorder="1" applyProtection="1">
      <protection locked="0"/>
    </xf>
    <xf numFmtId="4" fontId="5" fillId="0" borderId="13" xfId="6" applyNumberFormat="1" applyFont="1" applyFill="1" applyBorder="1" applyProtection="1">
      <protection locked="0"/>
    </xf>
    <xf numFmtId="2" fontId="4" fillId="0" borderId="19" xfId="6" applyNumberFormat="1" applyFont="1" applyFill="1" applyBorder="1" applyAlignment="1" applyProtection="1">
      <alignment horizontal="right" vertical="center"/>
    </xf>
    <xf numFmtId="2" fontId="4" fillId="0" borderId="13" xfId="6" applyNumberFormat="1" applyFont="1" applyFill="1" applyBorder="1" applyAlignment="1" applyProtection="1">
      <alignment horizontal="right" vertical="center"/>
    </xf>
    <xf numFmtId="4" fontId="5" fillId="0" borderId="25" xfId="6" applyNumberFormat="1" applyFont="1" applyFill="1" applyBorder="1" applyProtection="1">
      <protection locked="0"/>
    </xf>
    <xf numFmtId="2" fontId="4" fillId="0" borderId="2" xfId="6" applyNumberFormat="1" applyFont="1" applyFill="1" applyBorder="1" applyAlignment="1" applyProtection="1">
      <alignment horizontal="right" vertical="center"/>
    </xf>
    <xf numFmtId="2" fontId="4" fillId="0" borderId="16" xfId="6" applyNumberFormat="1" applyFont="1" applyFill="1" applyBorder="1" applyAlignment="1" applyProtection="1">
      <alignment horizontal="right" vertical="center"/>
    </xf>
    <xf numFmtId="3" fontId="5" fillId="0" borderId="24" xfId="6" applyNumberFormat="1" applyFont="1" applyFill="1" applyBorder="1" applyProtection="1">
      <protection locked="0"/>
    </xf>
    <xf numFmtId="1" fontId="4" fillId="0" borderId="23" xfId="6" applyNumberFormat="1" applyFont="1" applyFill="1" applyBorder="1" applyAlignment="1" applyProtection="1">
      <alignment horizontal="right" vertical="center"/>
    </xf>
    <xf numFmtId="3" fontId="5" fillId="0" borderId="22" xfId="6" applyNumberFormat="1" applyFont="1" applyFill="1" applyBorder="1" applyProtection="1">
      <protection locked="0"/>
    </xf>
    <xf numFmtId="1" fontId="4" fillId="0" borderId="19" xfId="6" applyNumberFormat="1" applyFont="1" applyFill="1" applyBorder="1" applyAlignment="1" applyProtection="1">
      <alignment horizontal="right" vertical="center"/>
    </xf>
    <xf numFmtId="3" fontId="5" fillId="0" borderId="25" xfId="6" applyNumberFormat="1" applyFont="1" applyFill="1" applyBorder="1" applyProtection="1">
      <protection locked="0"/>
    </xf>
    <xf numFmtId="1" fontId="4" fillId="0" borderId="2" xfId="6" applyNumberFormat="1" applyFont="1" applyFill="1" applyBorder="1" applyAlignment="1" applyProtection="1">
      <alignment horizontal="right" vertical="center"/>
    </xf>
    <xf numFmtId="1" fontId="4" fillId="0" borderId="16" xfId="6" applyNumberFormat="1" applyFont="1" applyFill="1" applyBorder="1" applyAlignment="1" applyProtection="1">
      <alignment horizontal="right" vertical="center"/>
    </xf>
    <xf numFmtId="2" fontId="5" fillId="0" borderId="24" xfId="6" applyNumberFormat="1" applyFont="1" applyFill="1" applyBorder="1" applyProtection="1"/>
    <xf numFmtId="2" fontId="5" fillId="0" borderId="23" xfId="6" applyNumberFormat="1" applyFont="1" applyFill="1" applyBorder="1" applyProtection="1"/>
    <xf numFmtId="2" fontId="5" fillId="0" borderId="15" xfId="6" applyNumberFormat="1" applyFont="1" applyFill="1" applyBorder="1" applyProtection="1"/>
    <xf numFmtId="2" fontId="5" fillId="0" borderId="22" xfId="6" applyNumberFormat="1" applyFont="1" applyFill="1" applyBorder="1" applyProtection="1"/>
    <xf numFmtId="2" fontId="5" fillId="0" borderId="19" xfId="6" applyNumberFormat="1" applyFont="1" applyFill="1" applyBorder="1" applyProtection="1"/>
    <xf numFmtId="2" fontId="5" fillId="0" borderId="13" xfId="6" applyNumberFormat="1" applyFont="1" applyFill="1" applyBorder="1" applyProtection="1"/>
    <xf numFmtId="2" fontId="5" fillId="0" borderId="25" xfId="6" applyNumberFormat="1" applyFont="1" applyFill="1" applyBorder="1" applyProtection="1"/>
    <xf numFmtId="2" fontId="5" fillId="0" borderId="2" xfId="6" applyNumberFormat="1" applyFont="1" applyFill="1" applyBorder="1" applyProtection="1"/>
    <xf numFmtId="2" fontId="5" fillId="0" borderId="16" xfId="6" applyNumberFormat="1" applyFont="1" applyFill="1" applyBorder="1" applyProtection="1"/>
    <xf numFmtId="168" fontId="5" fillId="0" borderId="29" xfId="6" applyNumberFormat="1" applyFont="1" applyFill="1" applyBorder="1" applyProtection="1">
      <protection locked="0"/>
    </xf>
    <xf numFmtId="168" fontId="4" fillId="0" borderId="26" xfId="6" applyNumberFormat="1" applyFont="1" applyFill="1" applyBorder="1" applyProtection="1">
      <protection locked="0"/>
    </xf>
    <xf numFmtId="168" fontId="4" fillId="0" borderId="27" xfId="6" applyNumberFormat="1" applyFont="1" applyFill="1" applyBorder="1" applyProtection="1">
      <protection locked="0"/>
    </xf>
    <xf numFmtId="167" fontId="5" fillId="0" borderId="12" xfId="6" applyNumberFormat="1" applyFont="1" applyFill="1" applyBorder="1" applyProtection="1">
      <protection locked="0"/>
    </xf>
    <xf numFmtId="167" fontId="4" fillId="0" borderId="10" xfId="6" applyNumberFormat="1" applyFont="1" applyFill="1" applyBorder="1" applyProtection="1">
      <protection locked="0"/>
    </xf>
    <xf numFmtId="167" fontId="4" fillId="0" borderId="11" xfId="6" applyNumberFormat="1" applyFont="1" applyFill="1" applyBorder="1" applyProtection="1">
      <protection locked="0"/>
    </xf>
    <xf numFmtId="172" fontId="5" fillId="0" borderId="24" xfId="6" applyNumberFormat="1" applyFont="1" applyFill="1" applyBorder="1" applyProtection="1"/>
    <xf numFmtId="172" fontId="5" fillId="0" borderId="23" xfId="6" applyNumberFormat="1" applyFont="1" applyFill="1" applyBorder="1" applyProtection="1"/>
    <xf numFmtId="172" fontId="5" fillId="0" borderId="15" xfId="6" applyNumberFormat="1" applyFont="1" applyFill="1" applyBorder="1" applyProtection="1"/>
    <xf numFmtId="172" fontId="4" fillId="0" borderId="22" xfId="6" applyNumberFormat="1" applyFont="1" applyFill="1" applyBorder="1" applyProtection="1"/>
    <xf numFmtId="172" fontId="4" fillId="0" borderId="19" xfId="6" applyNumberFormat="1" applyFont="1" applyFill="1" applyBorder="1" applyProtection="1"/>
    <xf numFmtId="172" fontId="4" fillId="0" borderId="13" xfId="6" applyNumberFormat="1" applyFont="1" applyFill="1" applyBorder="1" applyProtection="1"/>
    <xf numFmtId="168" fontId="4" fillId="0" borderId="19" xfId="6" applyNumberFormat="1" applyFont="1" applyFill="1" applyBorder="1" applyProtection="1">
      <protection locked="0"/>
    </xf>
    <xf numFmtId="168" fontId="4" fillId="0" borderId="13" xfId="6" applyNumberFormat="1" applyFont="1" applyFill="1" applyBorder="1" applyProtection="1">
      <protection locked="0"/>
    </xf>
    <xf numFmtId="172" fontId="4" fillId="0" borderId="25" xfId="6" applyNumberFormat="1" applyFont="1" applyFill="1" applyBorder="1" applyProtection="1"/>
    <xf numFmtId="168" fontId="4" fillId="0" borderId="2" xfId="6" applyNumberFormat="1" applyFont="1" applyFill="1" applyBorder="1" applyProtection="1">
      <protection locked="0"/>
    </xf>
    <xf numFmtId="168" fontId="4" fillId="0" borderId="16" xfId="6" applyNumberFormat="1" applyFont="1" applyFill="1" applyBorder="1" applyProtection="1">
      <protection locked="0"/>
    </xf>
    <xf numFmtId="172" fontId="21" fillId="0" borderId="24" xfId="6" applyNumberFormat="1" applyFont="1" applyFill="1" applyBorder="1" applyProtection="1"/>
    <xf numFmtId="168" fontId="21" fillId="0" borderId="23" xfId="6" applyNumberFormat="1" applyFont="1" applyFill="1" applyBorder="1" applyProtection="1"/>
    <xf numFmtId="172" fontId="21" fillId="0" borderId="22" xfId="6" applyNumberFormat="1" applyFont="1" applyFill="1" applyBorder="1" applyProtection="1"/>
    <xf numFmtId="168" fontId="21" fillId="0" borderId="19" xfId="6" applyNumberFormat="1" applyFont="1" applyFill="1" applyBorder="1" applyProtection="1"/>
    <xf numFmtId="170" fontId="4" fillId="0" borderId="24" xfId="6" applyNumberFormat="1" applyFont="1" applyFill="1" applyBorder="1" applyProtection="1"/>
    <xf numFmtId="166" fontId="4" fillId="0" borderId="23" xfId="6" applyNumberFormat="1" applyFont="1" applyFill="1" applyBorder="1" applyProtection="1"/>
    <xf numFmtId="166" fontId="4" fillId="0" borderId="15" xfId="6" applyNumberFormat="1" applyFont="1" applyFill="1" applyBorder="1" applyProtection="1"/>
    <xf numFmtId="170" fontId="4" fillId="0" borderId="22" xfId="6" applyNumberFormat="1" applyFont="1" applyFill="1" applyBorder="1" applyProtection="1"/>
    <xf numFmtId="166" fontId="4" fillId="0" borderId="19" xfId="6" applyNumberFormat="1" applyFont="1" applyFill="1" applyBorder="1" applyProtection="1"/>
    <xf numFmtId="166" fontId="4" fillId="0" borderId="13" xfId="6" applyNumberFormat="1" applyFont="1" applyFill="1" applyBorder="1" applyProtection="1"/>
    <xf numFmtId="170" fontId="5" fillId="0" borderId="25" xfId="6" applyNumberFormat="1" applyFont="1" applyFill="1" applyBorder="1" applyProtection="1"/>
    <xf numFmtId="166" fontId="5" fillId="0" borderId="2" xfId="6" applyNumberFormat="1" applyFont="1" applyFill="1" applyBorder="1" applyProtection="1"/>
    <xf numFmtId="166" fontId="5" fillId="0" borderId="16" xfId="6" applyNumberFormat="1" applyFont="1" applyFill="1" applyBorder="1" applyProtection="1"/>
    <xf numFmtId="168" fontId="5" fillId="0" borderId="24" xfId="6" applyNumberFormat="1" applyFont="1" applyFill="1" applyBorder="1" applyProtection="1"/>
    <xf numFmtId="168" fontId="5" fillId="0" borderId="23" xfId="6" applyNumberFormat="1" applyFont="1" applyFill="1" applyBorder="1" applyProtection="1"/>
    <xf numFmtId="168" fontId="4" fillId="0" borderId="22" xfId="6" applyNumberFormat="1" applyFont="1" applyFill="1" applyBorder="1" applyProtection="1"/>
    <xf numFmtId="168" fontId="4" fillId="0" borderId="25" xfId="6" applyNumberFormat="1" applyFont="1" applyFill="1" applyBorder="1" applyProtection="1"/>
    <xf numFmtId="167" fontId="5" fillId="0" borderId="37" xfId="6" applyNumberFormat="1" applyFont="1" applyFill="1" applyBorder="1" applyProtection="1">
      <protection locked="0"/>
    </xf>
    <xf numFmtId="167" fontId="4" fillId="0" borderId="28" xfId="6" applyNumberFormat="1" applyFont="1" applyFill="1" applyBorder="1" applyProtection="1">
      <protection locked="0"/>
    </xf>
    <xf numFmtId="167" fontId="4" fillId="0" borderId="20" xfId="6" applyNumberFormat="1" applyFont="1" applyFill="1" applyBorder="1" applyProtection="1">
      <protection locked="0"/>
    </xf>
    <xf numFmtId="172" fontId="5" fillId="0" borderId="38" xfId="6" applyNumberFormat="1" applyFont="1" applyFill="1" applyBorder="1" applyProtection="1"/>
    <xf numFmtId="172" fontId="5" fillId="0" borderId="10" xfId="6" applyNumberFormat="1" applyFont="1" applyFill="1" applyBorder="1" applyProtection="1"/>
    <xf numFmtId="172" fontId="5" fillId="0" borderId="11" xfId="6" applyNumberFormat="1" applyFont="1" applyFill="1" applyBorder="1" applyProtection="1"/>
    <xf numFmtId="172" fontId="4" fillId="0" borderId="24" xfId="6" applyNumberFormat="1" applyFont="1" applyFill="1" applyBorder="1" applyProtection="1"/>
    <xf numFmtId="172" fontId="4" fillId="0" borderId="23" xfId="6" applyNumberFormat="1" applyFont="1" applyFill="1" applyBorder="1" applyProtection="1"/>
    <xf numFmtId="172" fontId="4" fillId="0" borderId="35" xfId="6" applyNumberFormat="1" applyFont="1" applyFill="1" applyBorder="1" applyProtection="1"/>
    <xf numFmtId="172" fontId="4" fillId="0" borderId="36" xfId="6" applyNumberFormat="1" applyFont="1" applyFill="1" applyBorder="1" applyProtection="1"/>
    <xf numFmtId="172" fontId="4" fillId="0" borderId="17" xfId="6" applyNumberFormat="1" applyFont="1" applyFill="1" applyBorder="1" applyProtection="1"/>
    <xf numFmtId="168" fontId="4" fillId="0" borderId="23" xfId="6" applyNumberFormat="1" applyFont="1" applyFill="1" applyBorder="1" applyProtection="1">
      <protection locked="0"/>
    </xf>
    <xf numFmtId="168" fontId="4" fillId="0" borderId="15" xfId="6" applyNumberFormat="1" applyFont="1" applyFill="1" applyBorder="1" applyProtection="1">
      <protection locked="0"/>
    </xf>
    <xf numFmtId="172" fontId="4" fillId="0" borderId="15" xfId="6" applyNumberFormat="1" applyFont="1" applyFill="1" applyBorder="1" applyProtection="1"/>
    <xf numFmtId="168" fontId="4" fillId="0" borderId="23" xfId="6" applyNumberFormat="1" applyFont="1" applyFill="1" applyBorder="1" applyProtection="1"/>
    <xf numFmtId="168" fontId="4" fillId="0" borderId="15" xfId="6" applyNumberFormat="1" applyFont="1" applyFill="1" applyBorder="1" applyProtection="1"/>
    <xf numFmtId="168" fontId="4" fillId="0" borderId="19" xfId="6" applyNumberFormat="1" applyFont="1" applyFill="1" applyBorder="1" applyProtection="1"/>
    <xf numFmtId="168" fontId="4" fillId="0" borderId="13" xfId="6" applyNumberFormat="1" applyFont="1" applyFill="1" applyBorder="1" applyProtection="1"/>
    <xf numFmtId="172" fontId="4" fillId="0" borderId="22" xfId="6" applyNumberFormat="1" applyFont="1" applyFill="1" applyBorder="1" applyAlignment="1" applyProtection="1">
      <alignment vertical="center"/>
    </xf>
    <xf numFmtId="166" fontId="4" fillId="0" borderId="19" xfId="6" applyNumberFormat="1" applyFont="1" applyFill="1" applyBorder="1" applyAlignment="1" applyProtection="1">
      <alignment vertical="center"/>
    </xf>
    <xf numFmtId="166" fontId="4" fillId="0" borderId="2" xfId="6" applyNumberFormat="1" applyFont="1" applyFill="1" applyBorder="1" applyProtection="1"/>
    <xf numFmtId="166" fontId="4" fillId="0" borderId="16" xfId="6" applyNumberFormat="1" applyFont="1" applyFill="1" applyBorder="1" applyProtection="1"/>
    <xf numFmtId="172" fontId="5" fillId="0" borderId="25" xfId="6" applyNumberFormat="1" applyFont="1" applyFill="1" applyBorder="1" applyProtection="1"/>
    <xf numFmtId="0" fontId="4" fillId="0" borderId="6" xfId="6" applyFont="1" applyFill="1" applyBorder="1" applyAlignment="1" applyProtection="1">
      <alignment horizontal="center" vertical="center"/>
    </xf>
    <xf numFmtId="169" fontId="4" fillId="0" borderId="22" xfId="6" applyNumberFormat="1" applyFont="1" applyFill="1" applyBorder="1" applyProtection="1"/>
    <xf numFmtId="169" fontId="4" fillId="0" borderId="19" xfId="6" applyNumberFormat="1" applyFont="1" applyFill="1" applyBorder="1" applyProtection="1"/>
    <xf numFmtId="169" fontId="4" fillId="0" borderId="13" xfId="6" applyNumberFormat="1" applyFont="1" applyFill="1" applyBorder="1" applyProtection="1"/>
    <xf numFmtId="0" fontId="4" fillId="0" borderId="1" xfId="6" applyFont="1" applyFill="1" applyBorder="1" applyAlignment="1" applyProtection="1">
      <alignment horizontal="center" vertical="center"/>
    </xf>
    <xf numFmtId="0" fontId="4" fillId="0" borderId="7" xfId="6" applyFont="1" applyFill="1" applyBorder="1" applyAlignment="1" applyProtection="1">
      <alignment horizontal="center" vertical="center"/>
    </xf>
    <xf numFmtId="169" fontId="4" fillId="0" borderId="25" xfId="6" applyNumberFormat="1" applyFont="1" applyFill="1" applyBorder="1" applyProtection="1"/>
    <xf numFmtId="169" fontId="4" fillId="0" borderId="2" xfId="6" applyNumberFormat="1" applyFont="1" applyFill="1" applyBorder="1" applyProtection="1"/>
    <xf numFmtId="169" fontId="4" fillId="0" borderId="16" xfId="6" applyNumberFormat="1" applyFont="1" applyFill="1" applyBorder="1" applyProtection="1"/>
    <xf numFmtId="172" fontId="4" fillId="11" borderId="23" xfId="6" applyNumberFormat="1" applyFont="1" applyFill="1" applyBorder="1" applyProtection="1"/>
    <xf numFmtId="166" fontId="5" fillId="6" borderId="73" xfId="6" applyNumberFormat="1" applyFont="1" applyFill="1" applyBorder="1" applyAlignment="1">
      <alignment vertical="center"/>
    </xf>
    <xf numFmtId="166" fontId="5" fillId="5" borderId="40" xfId="6" applyNumberFormat="1" applyFont="1" applyFill="1" applyBorder="1" applyAlignment="1">
      <alignment vertical="center"/>
    </xf>
    <xf numFmtId="166" fontId="5" fillId="0" borderId="13" xfId="11" applyNumberFormat="1" applyFont="1" applyFill="1" applyBorder="1" applyAlignment="1">
      <alignment vertical="center"/>
    </xf>
    <xf numFmtId="166" fontId="5" fillId="0" borderId="16" xfId="11" applyNumberFormat="1" applyFont="1" applyFill="1" applyBorder="1" applyAlignment="1">
      <alignment vertical="center"/>
    </xf>
    <xf numFmtId="166" fontId="5" fillId="5" borderId="40" xfId="6" applyNumberFormat="1" applyFont="1" applyFill="1" applyBorder="1" applyAlignment="1">
      <alignment vertical="center" wrapText="1"/>
    </xf>
    <xf numFmtId="166" fontId="4" fillId="0" borderId="13" xfId="11" applyNumberFormat="1" applyFont="1" applyFill="1" applyBorder="1" applyAlignment="1">
      <alignment vertical="center" wrapText="1"/>
    </xf>
    <xf numFmtId="166" fontId="32" fillId="0" borderId="13" xfId="6" applyNumberFormat="1" applyFont="1" applyFill="1" applyBorder="1" applyAlignment="1">
      <alignment vertical="center" wrapText="1"/>
    </xf>
    <xf numFmtId="166" fontId="10" fillId="0" borderId="13" xfId="11" applyNumberFormat="1" applyFont="1" applyFill="1" applyBorder="1" applyAlignment="1">
      <alignment vertical="center" wrapText="1"/>
    </xf>
    <xf numFmtId="166" fontId="33" fillId="0" borderId="13" xfId="6" applyNumberFormat="1" applyFont="1" applyFill="1" applyBorder="1" applyAlignment="1">
      <alignment vertical="center" wrapText="1"/>
    </xf>
    <xf numFmtId="166" fontId="10" fillId="0" borderId="17" xfId="6" applyNumberFormat="1" applyFont="1" applyFill="1" applyBorder="1" applyAlignment="1">
      <alignment vertical="center" wrapText="1"/>
    </xf>
    <xf numFmtId="166" fontId="10" fillId="0" borderId="16" xfId="6" applyNumberFormat="1" applyFont="1" applyFill="1" applyBorder="1" applyAlignment="1">
      <alignment vertical="center" wrapText="1"/>
    </xf>
    <xf numFmtId="166" fontId="5" fillId="5" borderId="15" xfId="6" applyNumberFormat="1" applyFont="1" applyFill="1" applyBorder="1" applyAlignment="1">
      <alignment vertical="center"/>
    </xf>
    <xf numFmtId="166" fontId="34" fillId="0" borderId="20" xfId="6" applyNumberFormat="1" applyFont="1" applyFill="1" applyBorder="1" applyAlignment="1">
      <alignment vertical="center"/>
    </xf>
    <xf numFmtId="166" fontId="5" fillId="0" borderId="19" xfId="11" applyNumberFormat="1" applyFont="1" applyFill="1" applyBorder="1" applyAlignment="1">
      <alignment vertical="center"/>
    </xf>
    <xf numFmtId="166" fontId="5" fillId="0" borderId="17" xfId="11" applyNumberFormat="1" applyFont="1" applyFill="1" applyBorder="1" applyAlignment="1">
      <alignment vertical="center"/>
    </xf>
    <xf numFmtId="166" fontId="5" fillId="6" borderId="12" xfId="6" applyNumberFormat="1" applyFont="1" applyFill="1" applyBorder="1" applyAlignment="1">
      <alignment vertical="center"/>
    </xf>
    <xf numFmtId="166" fontId="5" fillId="0" borderId="16" xfId="11" applyNumberFormat="1" applyFont="1" applyFill="1" applyBorder="1" applyAlignment="1">
      <alignment vertical="center" wrapText="1"/>
    </xf>
    <xf numFmtId="166" fontId="35" fillId="0" borderId="21" xfId="6" applyNumberFormat="1" applyFont="1" applyFill="1" applyBorder="1" applyAlignment="1">
      <alignment vertical="center"/>
    </xf>
    <xf numFmtId="166" fontId="5" fillId="0" borderId="21" xfId="11" applyNumberFormat="1" applyFont="1" applyFill="1" applyBorder="1" applyAlignment="1">
      <alignment vertical="center" wrapText="1"/>
    </xf>
    <xf numFmtId="166" fontId="5" fillId="6" borderId="11" xfId="6" applyNumberFormat="1" applyFont="1" applyFill="1" applyBorder="1" applyAlignment="1">
      <alignment vertical="center" wrapText="1"/>
    </xf>
    <xf numFmtId="166" fontId="5" fillId="5" borderId="15" xfId="6" applyNumberFormat="1" applyFont="1" applyFill="1" applyBorder="1" applyAlignment="1">
      <alignment vertical="center" wrapText="1"/>
    </xf>
    <xf numFmtId="166" fontId="35" fillId="0" borderId="21" xfId="6" applyNumberFormat="1" applyFont="1" applyFill="1" applyBorder="1" applyAlignment="1">
      <alignment vertical="center" wrapText="1"/>
    </xf>
    <xf numFmtId="166" fontId="34" fillId="0" borderId="21" xfId="6" applyNumberFormat="1" applyFont="1" applyFill="1" applyBorder="1" applyAlignment="1">
      <alignment vertical="center" wrapText="1"/>
    </xf>
    <xf numFmtId="166" fontId="35" fillId="0" borderId="20" xfId="6" applyNumberFormat="1" applyFont="1" applyFill="1" applyBorder="1" applyAlignment="1">
      <alignment vertical="center" wrapText="1"/>
    </xf>
    <xf numFmtId="166" fontId="5" fillId="5" borderId="45" xfId="6" applyNumberFormat="1" applyFont="1" applyFill="1" applyBorder="1" applyAlignment="1">
      <alignment vertical="center" wrapText="1"/>
    </xf>
    <xf numFmtId="166" fontId="5" fillId="12" borderId="22" xfId="6" applyNumberFormat="1" applyFont="1" applyFill="1" applyBorder="1" applyAlignment="1">
      <alignment vertical="center"/>
    </xf>
    <xf numFmtId="0" fontId="4" fillId="0" borderId="0" xfId="6" applyFont="1" applyFill="1" applyProtection="1"/>
    <xf numFmtId="172" fontId="4" fillId="0" borderId="0" xfId="6" applyNumberFormat="1" applyFont="1" applyFill="1" applyProtection="1"/>
    <xf numFmtId="1" fontId="4" fillId="0" borderId="15" xfId="6" applyNumberFormat="1" applyFont="1" applyFill="1" applyBorder="1" applyAlignment="1" applyProtection="1">
      <alignment horizontal="right" vertical="center"/>
    </xf>
    <xf numFmtId="1" fontId="4" fillId="0" borderId="13" xfId="6" applyNumberFormat="1" applyFont="1" applyFill="1" applyBorder="1" applyAlignment="1" applyProtection="1">
      <alignment horizontal="right" vertical="center"/>
    </xf>
    <xf numFmtId="172" fontId="5" fillId="0" borderId="0" xfId="6" applyNumberFormat="1" applyFont="1" applyProtection="1"/>
    <xf numFmtId="176" fontId="4" fillId="0" borderId="2" xfId="6" applyNumberFormat="1" applyFont="1" applyFill="1" applyBorder="1" applyProtection="1"/>
    <xf numFmtId="176" fontId="4" fillId="0" borderId="16" xfId="6" applyNumberFormat="1" applyFont="1" applyFill="1" applyBorder="1" applyProtection="1"/>
    <xf numFmtId="177" fontId="21" fillId="0" borderId="22" xfId="6" applyNumberFormat="1" applyFont="1" applyFill="1" applyBorder="1" applyProtection="1"/>
    <xf numFmtId="177" fontId="21" fillId="0" borderId="19" xfId="6" applyNumberFormat="1" applyFont="1" applyFill="1" applyBorder="1" applyProtection="1"/>
    <xf numFmtId="172" fontId="4" fillId="0" borderId="2" xfId="6" applyNumberFormat="1" applyFont="1" applyFill="1" applyBorder="1" applyProtection="1"/>
    <xf numFmtId="172" fontId="4" fillId="0" borderId="16" xfId="6" applyNumberFormat="1" applyFont="1" applyFill="1" applyBorder="1" applyProtection="1"/>
    <xf numFmtId="178" fontId="4" fillId="0" borderId="22" xfId="6" applyNumberFormat="1" applyFont="1" applyFill="1" applyBorder="1" applyProtection="1"/>
    <xf numFmtId="178" fontId="4" fillId="0" borderId="19" xfId="6" applyNumberFormat="1" applyFont="1" applyFill="1" applyBorder="1" applyProtection="1"/>
    <xf numFmtId="172" fontId="16" fillId="0" borderId="0" xfId="6" applyNumberFormat="1" applyFont="1" applyFill="1" applyProtection="1"/>
    <xf numFmtId="0" fontId="16" fillId="0" borderId="0" xfId="6" applyFont="1" applyFill="1" applyProtection="1"/>
    <xf numFmtId="0" fontId="36" fillId="0" borderId="0" xfId="6" applyFont="1" applyFill="1" applyProtection="1"/>
    <xf numFmtId="168" fontId="4" fillId="0" borderId="0" xfId="6" applyNumberFormat="1" applyFont="1" applyFill="1" applyProtection="1"/>
    <xf numFmtId="166" fontId="5" fillId="8" borderId="13" xfId="1" applyNumberFormat="1" applyFont="1" applyFill="1" applyBorder="1" applyAlignment="1">
      <alignment vertical="center"/>
    </xf>
    <xf numFmtId="166" fontId="32" fillId="8" borderId="13" xfId="1" applyNumberFormat="1" applyFont="1" applyFill="1" applyBorder="1" applyAlignment="1">
      <alignment vertical="center" wrapText="1"/>
    </xf>
    <xf numFmtId="166" fontId="20" fillId="5" borderId="40" xfId="6" applyNumberFormat="1" applyFont="1" applyFill="1" applyBorder="1" applyAlignment="1" applyProtection="1">
      <alignment horizontal="center" vertical="center" wrapText="1"/>
      <protection locked="0"/>
    </xf>
    <xf numFmtId="170" fontId="20" fillId="5" borderId="17" xfId="6" applyNumberFormat="1" applyFont="1" applyFill="1" applyBorder="1" applyAlignment="1" applyProtection="1">
      <alignment horizontal="right" vertical="center" wrapText="1" indent="1"/>
    </xf>
    <xf numFmtId="2" fontId="22" fillId="5" borderId="13" xfId="6" applyNumberFormat="1" applyFont="1" applyFill="1" applyBorder="1" applyAlignment="1" applyProtection="1">
      <alignment horizontal="center" vertical="center" wrapText="1"/>
    </xf>
    <xf numFmtId="173" fontId="20" fillId="5" borderId="13" xfId="6" applyNumberFormat="1" applyFont="1" applyFill="1" applyBorder="1" applyAlignment="1" applyProtection="1">
      <alignment horizontal="center" vertical="center" wrapText="1"/>
    </xf>
    <xf numFmtId="171" fontId="20" fillId="5" borderId="13" xfId="6" applyNumberFormat="1" applyFont="1" applyFill="1" applyBorder="1" applyAlignment="1" applyProtection="1">
      <alignment horizontal="center" vertical="center" wrapText="1"/>
    </xf>
    <xf numFmtId="171" fontId="20" fillId="5" borderId="15" xfId="6" applyNumberFormat="1" applyFont="1" applyFill="1" applyBorder="1" applyAlignment="1" applyProtection="1">
      <alignment horizontal="center" vertical="center" wrapText="1"/>
      <protection locked="0"/>
    </xf>
    <xf numFmtId="171" fontId="20" fillId="5" borderId="13" xfId="6" applyNumberFormat="1" applyFont="1" applyFill="1" applyBorder="1" applyAlignment="1" applyProtection="1">
      <alignment horizontal="center" vertical="center" wrapText="1"/>
      <protection locked="0"/>
    </xf>
    <xf numFmtId="171" fontId="20" fillId="5" borderId="17" xfId="6" applyNumberFormat="1" applyFont="1" applyFill="1" applyBorder="1" applyAlignment="1" applyProtection="1">
      <alignment horizontal="center" vertical="center" wrapText="1"/>
      <protection locked="0"/>
    </xf>
    <xf numFmtId="171" fontId="20" fillId="5" borderId="16" xfId="6" applyNumberFormat="1" applyFont="1" applyFill="1" applyBorder="1" applyAlignment="1" applyProtection="1">
      <alignment horizontal="center" vertical="center" wrapText="1"/>
      <protection locked="0"/>
    </xf>
    <xf numFmtId="166" fontId="20" fillId="5" borderId="13" xfId="6" applyNumberFormat="1" applyFont="1" applyFill="1" applyBorder="1" applyAlignment="1" applyProtection="1">
      <alignment horizontal="center" vertical="center" wrapText="1"/>
      <protection locked="0"/>
    </xf>
    <xf numFmtId="4" fontId="20" fillId="5" borderId="13" xfId="6" applyNumberFormat="1" applyFont="1" applyFill="1" applyBorder="1" applyAlignment="1" applyProtection="1">
      <alignment horizontal="center" vertical="center" wrapText="1"/>
    </xf>
    <xf numFmtId="166" fontId="20" fillId="5" borderId="11" xfId="6" applyNumberFormat="1" applyFont="1" applyFill="1" applyBorder="1" applyAlignment="1" applyProtection="1">
      <alignment horizontal="center" vertical="center" wrapText="1"/>
      <protection locked="0"/>
    </xf>
    <xf numFmtId="166" fontId="20" fillId="5" borderId="58" xfId="6" applyNumberFormat="1" applyFont="1" applyFill="1" applyBorder="1" applyAlignment="1" applyProtection="1">
      <alignment horizontal="center" vertical="center" wrapText="1"/>
      <protection locked="0"/>
    </xf>
    <xf numFmtId="0" fontId="6" fillId="0" borderId="0" xfId="0" applyFont="1" applyAlignment="1">
      <alignment wrapText="1"/>
    </xf>
    <xf numFmtId="0" fontId="40" fillId="0" borderId="0" xfId="0" applyFont="1" applyFill="1" applyAlignment="1" applyProtection="1">
      <alignment horizontal="right"/>
    </xf>
    <xf numFmtId="0" fontId="38" fillId="0" borderId="0" xfId="0" applyFont="1" applyFill="1" applyAlignment="1" applyProtection="1">
      <alignment horizontal="right"/>
    </xf>
    <xf numFmtId="0" fontId="41" fillId="0" borderId="0" xfId="0" applyFont="1" applyFill="1" applyBorder="1" applyAlignment="1" applyProtection="1">
      <alignment horizontal="center" vertical="center" wrapText="1"/>
    </xf>
    <xf numFmtId="49" fontId="40" fillId="13" borderId="85" xfId="10" applyNumberFormat="1" applyFont="1" applyFill="1" applyBorder="1" applyAlignment="1">
      <alignment vertical="center" wrapText="1"/>
    </xf>
    <xf numFmtId="49" fontId="38" fillId="0" borderId="68" xfId="10" applyNumberFormat="1" applyFont="1" applyFill="1" applyBorder="1" applyAlignment="1">
      <alignment horizontal="center" vertical="center" wrapText="1"/>
    </xf>
    <xf numFmtId="0" fontId="38" fillId="0" borderId="68" xfId="10" applyFont="1" applyFill="1" applyBorder="1" applyAlignment="1">
      <alignment horizontal="left" vertical="center" wrapText="1"/>
    </xf>
    <xf numFmtId="4" fontId="42" fillId="0" borderId="68" xfId="10" applyNumberFormat="1" applyFont="1" applyFill="1" applyBorder="1" applyAlignment="1" applyProtection="1">
      <alignment horizontal="center" vertical="center" wrapText="1"/>
      <protection locked="0"/>
    </xf>
    <xf numFmtId="4" fontId="2" fillId="0" borderId="0" xfId="10" applyNumberFormat="1" applyFont="1" applyFill="1" applyBorder="1" applyAlignment="1" applyProtection="1">
      <alignment horizontal="center" vertical="center" wrapText="1"/>
      <protection locked="0"/>
    </xf>
    <xf numFmtId="4" fontId="43" fillId="0" borderId="0" xfId="10" applyNumberFormat="1" applyFont="1" applyFill="1" applyBorder="1" applyAlignment="1" applyProtection="1">
      <alignment horizontal="center" vertical="center" wrapText="1"/>
      <protection locked="0"/>
    </xf>
    <xf numFmtId="4" fontId="43" fillId="0" borderId="68" xfId="10" applyNumberFormat="1" applyFont="1" applyFill="1" applyBorder="1" applyAlignment="1" applyProtection="1">
      <alignment horizontal="center" vertical="center" wrapText="1"/>
      <protection locked="0"/>
    </xf>
    <xf numFmtId="4" fontId="44" fillId="13" borderId="68" xfId="0" applyNumberFormat="1" applyFont="1" applyFill="1" applyBorder="1" applyAlignment="1">
      <alignment horizontal="center" vertical="center" wrapText="1"/>
    </xf>
    <xf numFmtId="4" fontId="44" fillId="13" borderId="0" xfId="0" applyNumberFormat="1" applyFont="1" applyFill="1" applyBorder="1" applyAlignment="1">
      <alignment horizontal="center" vertical="center" wrapText="1"/>
    </xf>
    <xf numFmtId="4" fontId="42" fillId="0" borderId="85" xfId="10" applyNumberFormat="1" applyFont="1" applyFill="1" applyBorder="1" applyAlignment="1" applyProtection="1">
      <alignment horizontal="center" vertical="center" wrapText="1"/>
      <protection locked="0"/>
    </xf>
    <xf numFmtId="49" fontId="40" fillId="0" borderId="68" xfId="10" applyNumberFormat="1" applyFont="1" applyFill="1" applyBorder="1" applyAlignment="1">
      <alignment horizontal="center" vertical="center" wrapText="1"/>
    </xf>
    <xf numFmtId="0" fontId="40" fillId="0" borderId="68" xfId="10" applyFont="1" applyFill="1" applyBorder="1" applyAlignment="1">
      <alignment horizontal="left" vertical="center" wrapText="1"/>
    </xf>
    <xf numFmtId="4" fontId="37" fillId="0" borderId="68" xfId="10" applyNumberFormat="1" applyFont="1" applyFill="1" applyBorder="1" applyAlignment="1" applyProtection="1">
      <alignment horizontal="center" vertical="center" wrapText="1"/>
      <protection locked="0"/>
    </xf>
    <xf numFmtId="4" fontId="42" fillId="9" borderId="68" xfId="10" applyNumberFormat="1" applyFont="1" applyFill="1" applyBorder="1" applyAlignment="1" applyProtection="1">
      <alignment horizontal="center" vertical="center" wrapText="1"/>
      <protection locked="0"/>
    </xf>
    <xf numFmtId="3" fontId="43" fillId="0" borderId="0" xfId="10" applyNumberFormat="1" applyFont="1" applyFill="1" applyBorder="1" applyAlignment="1" applyProtection="1">
      <alignment horizontal="center" vertical="center" wrapText="1"/>
      <protection locked="0"/>
    </xf>
    <xf numFmtId="4" fontId="37" fillId="0" borderId="85" xfId="10" applyNumberFormat="1" applyFont="1" applyFill="1" applyBorder="1" applyAlignment="1" applyProtection="1">
      <alignment horizontal="center" vertical="center" wrapText="1"/>
      <protection locked="0"/>
    </xf>
    <xf numFmtId="4" fontId="43" fillId="0" borderId="85" xfId="10" applyNumberFormat="1" applyFont="1" applyFill="1" applyBorder="1" applyAlignment="1" applyProtection="1">
      <alignment horizontal="center" vertical="center" wrapText="1"/>
      <protection locked="0"/>
    </xf>
    <xf numFmtId="4" fontId="43" fillId="8" borderId="68" xfId="10" applyNumberFormat="1" applyFont="1" applyFill="1" applyBorder="1" applyAlignment="1" applyProtection="1">
      <alignment horizontal="center" vertical="center" wrapText="1"/>
      <protection locked="0"/>
    </xf>
    <xf numFmtId="4" fontId="43" fillId="8" borderId="85" xfId="10" applyNumberFormat="1" applyFont="1" applyFill="1" applyBorder="1" applyAlignment="1" applyProtection="1">
      <alignment horizontal="center" vertical="center" wrapText="1"/>
      <protection locked="0"/>
    </xf>
    <xf numFmtId="49" fontId="38" fillId="0" borderId="0" xfId="10" applyNumberFormat="1" applyFont="1" applyFill="1" applyBorder="1" applyAlignment="1">
      <alignment horizontal="center" vertical="center" wrapText="1"/>
    </xf>
    <xf numFmtId="0" fontId="38" fillId="0" borderId="0" xfId="10" applyFont="1" applyFill="1" applyBorder="1" applyAlignment="1">
      <alignment horizontal="left" vertical="center" wrapText="1"/>
    </xf>
    <xf numFmtId="49" fontId="45" fillId="0" borderId="0" xfId="10" applyNumberFormat="1" applyFont="1" applyFill="1" applyBorder="1" applyAlignment="1" applyProtection="1">
      <alignment vertical="top"/>
      <protection locked="0"/>
    </xf>
    <xf numFmtId="1" fontId="45" fillId="0" borderId="0" xfId="0" applyNumberFormat="1" applyFont="1" applyFill="1" applyBorder="1" applyAlignment="1" applyProtection="1">
      <alignment horizontal="center" vertical="center"/>
      <protection locked="0"/>
    </xf>
    <xf numFmtId="0" fontId="0" fillId="0" borderId="0" xfId="0" applyBorder="1"/>
    <xf numFmtId="0" fontId="46" fillId="0" borderId="0" xfId="0" applyFont="1" applyBorder="1"/>
    <xf numFmtId="0" fontId="39" fillId="0" borderId="0" xfId="0" applyFont="1" applyFill="1" applyBorder="1" applyAlignment="1" applyProtection="1">
      <alignment horizontal="center" vertical="justify"/>
      <protection locked="0"/>
    </xf>
    <xf numFmtId="0" fontId="0" fillId="0" borderId="0" xfId="0" applyBorder="1" applyAlignment="1">
      <alignment horizontal="center" vertical="justify"/>
    </xf>
    <xf numFmtId="0" fontId="47" fillId="0" borderId="0" xfId="0" applyFont="1" applyBorder="1" applyAlignment="1"/>
    <xf numFmtId="0" fontId="38" fillId="0" borderId="0" xfId="0" applyFont="1" applyBorder="1"/>
    <xf numFmtId="0" fontId="38" fillId="0" borderId="0" xfId="0" applyFont="1"/>
    <xf numFmtId="0" fontId="48" fillId="0" borderId="0" xfId="0" applyFont="1"/>
    <xf numFmtId="0" fontId="6" fillId="0" borderId="0" xfId="0" applyFont="1"/>
    <xf numFmtId="166" fontId="15" fillId="8" borderId="16" xfId="6" applyNumberFormat="1" applyFont="1" applyFill="1" applyBorder="1" applyAlignment="1">
      <alignment vertical="center"/>
    </xf>
    <xf numFmtId="3" fontId="17" fillId="0" borderId="19" xfId="6" applyNumberFormat="1" applyFont="1" applyFill="1" applyBorder="1" applyAlignment="1">
      <alignment vertical="center"/>
    </xf>
    <xf numFmtId="4" fontId="17" fillId="0" borderId="19" xfId="6" applyNumberFormat="1" applyFont="1" applyFill="1" applyBorder="1" applyAlignment="1">
      <alignment vertical="center"/>
    </xf>
    <xf numFmtId="0" fontId="49" fillId="0" borderId="0" xfId="6" applyFont="1"/>
    <xf numFmtId="0" fontId="2" fillId="0" borderId="0" xfId="0" applyFont="1" applyFill="1" applyBorder="1" applyAlignment="1" applyProtection="1">
      <alignment horizontal="center" vertical="justify" wrapText="1"/>
      <protection locked="0"/>
    </xf>
    <xf numFmtId="0" fontId="38" fillId="0" borderId="0" xfId="0" applyFont="1" applyAlignment="1">
      <alignment horizontal="center"/>
    </xf>
    <xf numFmtId="0" fontId="0" fillId="0" borderId="0" xfId="0" applyAlignment="1">
      <alignment horizontal="center"/>
    </xf>
    <xf numFmtId="0" fontId="37" fillId="0" borderId="0" xfId="0" applyFont="1" applyAlignment="1">
      <alignment horizontal="center" vertical="center"/>
    </xf>
    <xf numFmtId="0" fontId="0" fillId="0" borderId="0" xfId="0" applyAlignment="1">
      <alignment horizontal="center" vertical="center"/>
    </xf>
    <xf numFmtId="0" fontId="37" fillId="9" borderId="86" xfId="10" applyFont="1" applyFill="1" applyBorder="1" applyAlignment="1">
      <alignment horizontal="center" vertical="center" wrapText="1"/>
    </xf>
    <xf numFmtId="0" fontId="51" fillId="0" borderId="86" xfId="0" applyFont="1" applyFill="1" applyBorder="1" applyAlignment="1" applyProtection="1">
      <alignment horizontal="center" vertical="center" wrapText="1"/>
    </xf>
    <xf numFmtId="0" fontId="51" fillId="0" borderId="68" xfId="0" applyFont="1" applyFill="1" applyBorder="1" applyAlignment="1" applyProtection="1">
      <alignment horizontal="center" vertical="center" wrapText="1"/>
    </xf>
    <xf numFmtId="0" fontId="52" fillId="0" borderId="0" xfId="0" applyFont="1" applyFill="1" applyAlignment="1" applyProtection="1">
      <alignment horizontal="right"/>
    </xf>
    <xf numFmtId="165" fontId="4" fillId="0" borderId="0" xfId="9" applyFont="1"/>
    <xf numFmtId="43" fontId="4" fillId="0" borderId="0" xfId="6" applyNumberFormat="1" applyFont="1" applyBorder="1" applyAlignment="1" applyProtection="1">
      <alignment horizontal="center" vertical="justify"/>
      <protection locked="0"/>
    </xf>
    <xf numFmtId="166" fontId="21" fillId="0" borderId="0" xfId="1" applyNumberFormat="1" applyFont="1"/>
    <xf numFmtId="166" fontId="21" fillId="0" borderId="0" xfId="9" applyNumberFormat="1" applyFont="1"/>
    <xf numFmtId="166" fontId="21" fillId="0" borderId="0" xfId="1" applyNumberFormat="1" applyFont="1" applyFill="1"/>
    <xf numFmtId="0" fontId="21" fillId="0" borderId="0" xfId="6" applyFont="1"/>
    <xf numFmtId="0" fontId="21" fillId="0" borderId="0" xfId="1" applyFont="1" applyFill="1"/>
    <xf numFmtId="49" fontId="21" fillId="0" borderId="0" xfId="1" applyNumberFormat="1" applyFont="1"/>
    <xf numFmtId="166" fontId="19" fillId="0" borderId="16" xfId="6" applyNumberFormat="1" applyFont="1" applyFill="1" applyBorder="1" applyAlignment="1">
      <alignment vertical="center"/>
    </xf>
    <xf numFmtId="0" fontId="21" fillId="8" borderId="0" xfId="1" applyFont="1" applyFill="1"/>
    <xf numFmtId="0" fontId="49" fillId="0" borderId="0" xfId="6" applyFont="1" applyAlignment="1" applyProtection="1">
      <protection locked="0"/>
    </xf>
    <xf numFmtId="0" fontId="49" fillId="0" borderId="0" xfId="0" applyFont="1" applyAlignment="1"/>
    <xf numFmtId="0" fontId="21" fillId="0" borderId="0" xfId="6" applyFont="1" applyProtection="1"/>
    <xf numFmtId="1" fontId="5" fillId="6" borderId="14" xfId="6" applyNumberFormat="1" applyFont="1" applyFill="1" applyBorder="1" applyAlignment="1" applyProtection="1">
      <alignment vertical="center" wrapText="1"/>
    </xf>
    <xf numFmtId="166" fontId="5" fillId="6" borderId="38" xfId="6" applyNumberFormat="1" applyFont="1" applyFill="1" applyBorder="1" applyAlignment="1">
      <alignment vertical="center"/>
    </xf>
    <xf numFmtId="166" fontId="5" fillId="6" borderId="41" xfId="6" applyNumberFormat="1" applyFont="1" applyFill="1" applyBorder="1" applyAlignment="1">
      <alignment vertical="center"/>
    </xf>
    <xf numFmtId="0" fontId="4" fillId="0" borderId="0" xfId="6" applyFont="1" applyFill="1"/>
    <xf numFmtId="166" fontId="5" fillId="0" borderId="24" xfId="6" applyNumberFormat="1" applyFont="1" applyFill="1" applyBorder="1" applyAlignment="1">
      <alignment vertical="center"/>
    </xf>
    <xf numFmtId="166" fontId="5" fillId="0" borderId="23" xfId="6" applyNumberFormat="1" applyFont="1" applyFill="1" applyBorder="1" applyAlignment="1">
      <alignment vertical="center"/>
    </xf>
    <xf numFmtId="166" fontId="5" fillId="0" borderId="15" xfId="6" applyNumberFormat="1" applyFont="1" applyFill="1" applyBorder="1" applyAlignment="1">
      <alignment vertical="center"/>
    </xf>
    <xf numFmtId="0" fontId="5" fillId="0" borderId="6" xfId="6" applyFont="1" applyBorder="1" applyAlignment="1" applyProtection="1">
      <alignment horizontal="left" vertical="center" wrapText="1"/>
    </xf>
    <xf numFmtId="166" fontId="5" fillId="5" borderId="24" xfId="6" applyNumberFormat="1" applyFont="1" applyFill="1" applyBorder="1" applyAlignment="1">
      <alignment vertical="center"/>
    </xf>
    <xf numFmtId="166" fontId="5" fillId="5" borderId="23" xfId="6" applyNumberFormat="1" applyFont="1" applyFill="1" applyBorder="1" applyAlignment="1">
      <alignment vertical="center"/>
    </xf>
    <xf numFmtId="166" fontId="35" fillId="5" borderId="23" xfId="6" applyNumberFormat="1" applyFont="1" applyFill="1" applyBorder="1" applyAlignment="1">
      <alignment vertical="center"/>
    </xf>
    <xf numFmtId="0" fontId="4" fillId="0" borderId="7" xfId="6" applyFont="1" applyBorder="1" applyAlignment="1">
      <alignment vertical="center" wrapText="1"/>
    </xf>
    <xf numFmtId="166" fontId="53" fillId="0" borderId="25" xfId="6" applyNumberFormat="1" applyFont="1" applyFill="1" applyBorder="1" applyAlignment="1">
      <alignment vertical="center" wrapText="1"/>
    </xf>
    <xf numFmtId="166" fontId="53" fillId="0" borderId="2" xfId="6" applyNumberFormat="1" applyFont="1" applyFill="1" applyBorder="1" applyAlignment="1">
      <alignment vertical="center" wrapText="1"/>
    </xf>
    <xf numFmtId="3" fontId="24" fillId="0" borderId="2" xfId="6" applyNumberFormat="1" applyFont="1" applyFill="1" applyBorder="1" applyAlignment="1">
      <alignment vertical="center"/>
    </xf>
    <xf numFmtId="166" fontId="24" fillId="0" borderId="2" xfId="6" applyNumberFormat="1" applyFont="1" applyFill="1" applyBorder="1" applyAlignment="1">
      <alignment vertical="center"/>
    </xf>
    <xf numFmtId="166" fontId="53" fillId="9" borderId="16" xfId="6" applyNumberFormat="1" applyFont="1" applyFill="1" applyBorder="1" applyAlignment="1">
      <alignment vertical="center" wrapText="1"/>
    </xf>
    <xf numFmtId="0" fontId="4" fillId="0" borderId="7" xfId="6" applyFont="1" applyFill="1" applyBorder="1" applyAlignment="1">
      <alignment vertical="center" wrapText="1"/>
    </xf>
    <xf numFmtId="3" fontId="4" fillId="0" borderId="2" xfId="6" applyNumberFormat="1" applyFont="1" applyFill="1" applyBorder="1" applyAlignment="1">
      <alignment vertical="center"/>
    </xf>
    <xf numFmtId="166" fontId="4" fillId="0" borderId="2" xfId="6" applyNumberFormat="1" applyFont="1" applyFill="1" applyBorder="1" applyAlignment="1">
      <alignment vertical="center"/>
    </xf>
    <xf numFmtId="166" fontId="53" fillId="0" borderId="16" xfId="6" applyNumberFormat="1" applyFont="1" applyFill="1" applyBorder="1" applyAlignment="1">
      <alignment vertical="center" wrapText="1"/>
    </xf>
    <xf numFmtId="2" fontId="21" fillId="0" borderId="19" xfId="6" applyNumberFormat="1" applyFont="1" applyFill="1" applyBorder="1" applyAlignment="1" applyProtection="1">
      <alignment horizontal="right" vertical="center"/>
    </xf>
    <xf numFmtId="4" fontId="20" fillId="5" borderId="81" xfId="6" applyNumberFormat="1" applyFont="1" applyFill="1" applyBorder="1" applyAlignment="1" applyProtection="1">
      <alignment horizontal="right" vertical="center" wrapText="1" indent="1"/>
      <protection locked="0"/>
    </xf>
    <xf numFmtId="0" fontId="51" fillId="0" borderId="86" xfId="0" applyFont="1" applyFill="1" applyBorder="1" applyAlignment="1" applyProtection="1">
      <alignment vertical="center" wrapText="1"/>
    </xf>
    <xf numFmtId="0" fontId="49" fillId="0" borderId="0" xfId="6" applyFont="1" applyAlignment="1">
      <alignment vertical="center" wrapText="1"/>
    </xf>
    <xf numFmtId="0" fontId="19" fillId="8" borderId="68" xfId="6" applyFont="1" applyFill="1" applyBorder="1" applyAlignment="1" applyProtection="1">
      <alignment horizontal="center" vertical="center" wrapText="1"/>
    </xf>
    <xf numFmtId="0" fontId="19" fillId="0" borderId="6" xfId="6" applyFont="1" applyFill="1" applyBorder="1" applyAlignment="1" applyProtection="1">
      <alignment horizontal="right" vertical="center" wrapText="1"/>
    </xf>
    <xf numFmtId="0" fontId="19" fillId="0" borderId="6" xfId="6" applyFont="1" applyFill="1" applyBorder="1" applyAlignment="1" applyProtection="1">
      <alignment horizontal="center" vertical="center" wrapText="1"/>
    </xf>
    <xf numFmtId="0" fontId="19" fillId="10" borderId="6" xfId="6" applyFont="1" applyFill="1" applyBorder="1" applyAlignment="1" applyProtection="1">
      <alignment horizontal="center" vertical="center" wrapText="1"/>
    </xf>
    <xf numFmtId="0" fontId="19" fillId="10" borderId="30" xfId="6" applyFont="1" applyFill="1" applyBorder="1" applyAlignment="1" applyProtection="1">
      <alignment horizontal="center" vertical="center" wrapText="1"/>
    </xf>
    <xf numFmtId="0" fontId="19" fillId="10" borderId="31" xfId="6" applyFont="1" applyFill="1" applyBorder="1" applyAlignment="1" applyProtection="1">
      <alignment horizontal="center" vertical="center"/>
    </xf>
    <xf numFmtId="0" fontId="19" fillId="4" borderId="21" xfId="6" applyFont="1" applyFill="1" applyBorder="1" applyAlignment="1" applyProtection="1">
      <alignment horizontal="center" vertical="center" wrapText="1"/>
    </xf>
    <xf numFmtId="0" fontId="19" fillId="10" borderId="67" xfId="6" applyFont="1" applyFill="1" applyBorder="1" applyAlignment="1" applyProtection="1">
      <alignment horizontal="center" vertical="center" wrapText="1"/>
    </xf>
    <xf numFmtId="0" fontId="19" fillId="10" borderId="44" xfId="6" applyFont="1" applyFill="1" applyBorder="1" applyAlignment="1" applyProtection="1">
      <alignment horizontal="center" vertical="center"/>
    </xf>
    <xf numFmtId="0" fontId="19" fillId="4" borderId="45" xfId="6" applyFont="1" applyFill="1" applyBorder="1" applyAlignment="1" applyProtection="1">
      <alignment horizontal="center" vertical="center" wrapText="1"/>
    </xf>
    <xf numFmtId="1" fontId="19" fillId="0" borderId="3" xfId="6" applyNumberFormat="1" applyFont="1" applyBorder="1" applyAlignment="1" applyProtection="1">
      <alignment vertical="center" wrapText="1"/>
    </xf>
    <xf numFmtId="0" fontId="19" fillId="0" borderId="3" xfId="6" applyFont="1" applyFill="1" applyBorder="1" applyAlignment="1" applyProtection="1">
      <alignment horizontal="center" vertical="center" wrapText="1"/>
    </xf>
    <xf numFmtId="166" fontId="22" fillId="4" borderId="3" xfId="6" applyNumberFormat="1" applyFont="1" applyFill="1" applyBorder="1" applyAlignment="1" applyProtection="1">
      <alignment horizontal="right" wrapText="1" indent="1"/>
    </xf>
    <xf numFmtId="166" fontId="22" fillId="4" borderId="22" xfId="6" applyNumberFormat="1" applyFont="1" applyFill="1" applyBorder="1" applyAlignment="1" applyProtection="1">
      <alignment horizontal="right" wrapText="1" indent="1"/>
    </xf>
    <xf numFmtId="166" fontId="22" fillId="4" borderId="19" xfId="6" applyNumberFormat="1" applyFont="1" applyFill="1" applyBorder="1" applyAlignment="1" applyProtection="1">
      <alignment horizontal="right" wrapText="1" indent="1"/>
    </xf>
    <xf numFmtId="166" fontId="22" fillId="4" borderId="13" xfId="6" applyNumberFormat="1" applyFont="1" applyFill="1" applyBorder="1" applyAlignment="1" applyProtection="1">
      <alignment horizontal="right" wrapText="1" indent="1"/>
    </xf>
    <xf numFmtId="166" fontId="22" fillId="4" borderId="24" xfId="6" applyNumberFormat="1" applyFont="1" applyFill="1" applyBorder="1" applyAlignment="1" applyProtection="1">
      <alignment horizontal="right" wrapText="1" indent="1"/>
    </xf>
    <xf numFmtId="166" fontId="22" fillId="4" borderId="15" xfId="6" applyNumberFormat="1" applyFont="1" applyFill="1" applyBorder="1" applyAlignment="1" applyProtection="1">
      <alignment horizontal="right" wrapText="1" indent="1"/>
    </xf>
    <xf numFmtId="0" fontId="21" fillId="0" borderId="1" xfId="6" applyFont="1" applyBorder="1" applyAlignment="1" applyProtection="1">
      <alignment horizontal="left" vertical="center" wrapText="1"/>
    </xf>
    <xf numFmtId="0" fontId="21" fillId="0" borderId="1" xfId="6" applyFont="1" applyFill="1" applyBorder="1" applyAlignment="1" applyProtection="1">
      <alignment horizontal="center" vertical="center" wrapText="1"/>
    </xf>
    <xf numFmtId="166" fontId="20" fillId="5" borderId="1" xfId="6" applyNumberFormat="1" applyFont="1" applyFill="1" applyBorder="1" applyAlignment="1" applyProtection="1">
      <alignment horizontal="right" wrapText="1" indent="1"/>
    </xf>
    <xf numFmtId="166" fontId="20" fillId="5" borderId="22" xfId="6" applyNumberFormat="1" applyFont="1" applyFill="1" applyBorder="1" applyAlignment="1" applyProtection="1">
      <alignment horizontal="right" wrapText="1" indent="1"/>
    </xf>
    <xf numFmtId="166" fontId="20" fillId="5" borderId="19" xfId="6" applyNumberFormat="1" applyFont="1" applyFill="1" applyBorder="1" applyAlignment="1" applyProtection="1">
      <alignment horizontal="right" wrapText="1" indent="1"/>
      <protection locked="0"/>
    </xf>
    <xf numFmtId="166" fontId="20" fillId="4" borderId="13" xfId="6" applyNumberFormat="1" applyFont="1" applyFill="1" applyBorder="1" applyAlignment="1" applyProtection="1">
      <alignment horizontal="right" wrapText="1" indent="1"/>
      <protection locked="0"/>
    </xf>
    <xf numFmtId="166" fontId="20" fillId="5" borderId="22" xfId="6" applyNumberFormat="1" applyFont="1" applyFill="1" applyBorder="1" applyAlignment="1" applyProtection="1">
      <alignment horizontal="right" wrapText="1" indent="1"/>
      <protection locked="0"/>
    </xf>
    <xf numFmtId="166" fontId="20" fillId="5" borderId="13" xfId="6" applyNumberFormat="1" applyFont="1" applyFill="1" applyBorder="1" applyAlignment="1" applyProtection="1">
      <alignment horizontal="right" wrapText="1" indent="1"/>
      <protection locked="0"/>
    </xf>
    <xf numFmtId="166" fontId="49" fillId="0" borderId="0" xfId="6" applyNumberFormat="1" applyFont="1"/>
    <xf numFmtId="166" fontId="20" fillId="4" borderId="1" xfId="6" applyNumberFormat="1" applyFont="1" applyFill="1" applyBorder="1" applyAlignment="1" applyProtection="1">
      <alignment horizontal="right" wrapText="1" indent="1"/>
    </xf>
    <xf numFmtId="166" fontId="20" fillId="4" borderId="13" xfId="6" applyNumberFormat="1" applyFont="1" applyFill="1" applyBorder="1" applyAlignment="1" applyProtection="1">
      <alignment horizontal="right" wrapText="1" indent="1"/>
    </xf>
    <xf numFmtId="0" fontId="21" fillId="0" borderId="1" xfId="6" applyFont="1" applyBorder="1" applyAlignment="1" applyProtection="1">
      <alignment vertical="center" wrapText="1"/>
    </xf>
    <xf numFmtId="166" fontId="20" fillId="4" borderId="1" xfId="6" applyNumberFormat="1" applyFont="1" applyFill="1" applyBorder="1" applyAlignment="1" applyProtection="1">
      <alignment horizontal="right" vertical="center" wrapText="1" indent="1"/>
    </xf>
    <xf numFmtId="166" fontId="20" fillId="5" borderId="22" xfId="6" applyNumberFormat="1" applyFont="1" applyFill="1" applyBorder="1" applyAlignment="1" applyProtection="1">
      <alignment horizontal="right" vertical="center" wrapText="1" indent="1"/>
    </xf>
    <xf numFmtId="166" fontId="20" fillId="5" borderId="19" xfId="6" applyNumberFormat="1" applyFont="1" applyFill="1" applyBorder="1" applyAlignment="1" applyProtection="1">
      <alignment horizontal="right" vertical="center" wrapText="1" indent="1"/>
      <protection locked="0"/>
    </xf>
    <xf numFmtId="166" fontId="20" fillId="5" borderId="22" xfId="6" applyNumberFormat="1" applyFont="1" applyFill="1" applyBorder="1" applyAlignment="1" applyProtection="1">
      <alignment horizontal="right" vertical="center" wrapText="1" indent="1"/>
      <protection locked="0"/>
    </xf>
    <xf numFmtId="166" fontId="20" fillId="5" borderId="13" xfId="6" applyNumberFormat="1" applyFont="1" applyFill="1" applyBorder="1" applyAlignment="1" applyProtection="1">
      <alignment horizontal="right" vertical="center" wrapText="1" indent="1"/>
      <protection locked="0"/>
    </xf>
    <xf numFmtId="0" fontId="19" fillId="0" borderId="1" xfId="6" applyFont="1" applyBorder="1" applyAlignment="1" applyProtection="1">
      <alignment vertical="center" wrapText="1"/>
    </xf>
    <xf numFmtId="0" fontId="19" fillId="0" borderId="1" xfId="6" applyFont="1" applyFill="1" applyBorder="1" applyAlignment="1" applyProtection="1">
      <alignment horizontal="center" vertical="center" wrapText="1"/>
    </xf>
    <xf numFmtId="166" fontId="22" fillId="4" borderId="1" xfId="6" applyNumberFormat="1" applyFont="1" applyFill="1" applyBorder="1" applyAlignment="1" applyProtection="1">
      <alignment horizontal="right" vertical="center" wrapText="1" indent="1"/>
    </xf>
    <xf numFmtId="166" fontId="22" fillId="4" borderId="22" xfId="6" applyNumberFormat="1" applyFont="1" applyFill="1" applyBorder="1" applyAlignment="1" applyProtection="1">
      <alignment horizontal="right" vertical="center" wrapText="1" indent="1"/>
    </xf>
    <xf numFmtId="166" fontId="22" fillId="4" borderId="13" xfId="6" applyNumberFormat="1" applyFont="1" applyFill="1" applyBorder="1" applyAlignment="1" applyProtection="1">
      <alignment horizontal="right" vertical="center" wrapText="1" indent="1"/>
    </xf>
    <xf numFmtId="171" fontId="22" fillId="4" borderId="13" xfId="6" applyNumberFormat="1" applyFont="1" applyFill="1" applyBorder="1" applyAlignment="1" applyProtection="1">
      <alignment horizontal="right" vertical="center" wrapText="1" indent="1"/>
    </xf>
    <xf numFmtId="166" fontId="20" fillId="4" borderId="13" xfId="6" applyNumberFormat="1" applyFont="1" applyFill="1" applyBorder="1" applyAlignment="1" applyProtection="1">
      <alignment horizontal="right" vertical="center" wrapText="1" indent="1"/>
      <protection locked="0"/>
    </xf>
    <xf numFmtId="166" fontId="22" fillId="5" borderId="1" xfId="6" applyNumberFormat="1" applyFont="1" applyFill="1" applyBorder="1" applyAlignment="1" applyProtection="1">
      <alignment horizontal="right" wrapText="1" indent="1"/>
    </xf>
    <xf numFmtId="166" fontId="22" fillId="4" borderId="13" xfId="6" applyNumberFormat="1" applyFont="1" applyFill="1" applyBorder="1" applyAlignment="1" applyProtection="1">
      <alignment horizontal="right" wrapText="1" indent="1"/>
      <protection locked="0"/>
    </xf>
    <xf numFmtId="166" fontId="22" fillId="4" borderId="19" xfId="6" applyNumberFormat="1" applyFont="1" applyFill="1" applyBorder="1" applyAlignment="1" applyProtection="1">
      <alignment horizontal="right" vertical="center" wrapText="1" indent="1"/>
    </xf>
    <xf numFmtId="4" fontId="22" fillId="4" borderId="13" xfId="6" applyNumberFormat="1" applyFont="1" applyFill="1" applyBorder="1" applyAlignment="1" applyProtection="1">
      <alignment horizontal="right" vertical="center" wrapText="1" indent="1"/>
    </xf>
    <xf numFmtId="4" fontId="20" fillId="5" borderId="22" xfId="6" applyNumberFormat="1" applyFont="1" applyFill="1" applyBorder="1" applyAlignment="1" applyProtection="1">
      <alignment horizontal="right" vertical="center" wrapText="1" indent="1"/>
      <protection locked="0"/>
    </xf>
    <xf numFmtId="4" fontId="20" fillId="4" borderId="13" xfId="6" applyNumberFormat="1" applyFont="1" applyFill="1" applyBorder="1" applyAlignment="1" applyProtection="1">
      <alignment horizontal="right" wrapText="1" indent="1"/>
      <protection locked="0"/>
    </xf>
    <xf numFmtId="0" fontId="21" fillId="0" borderId="4" xfId="6" applyFont="1" applyBorder="1" applyAlignment="1" applyProtection="1">
      <alignment horizontal="left" vertical="center" wrapText="1"/>
    </xf>
    <xf numFmtId="0" fontId="21" fillId="0" borderId="4" xfId="6" applyFont="1" applyFill="1" applyBorder="1" applyAlignment="1" applyProtection="1">
      <alignment horizontal="center" vertical="center" wrapText="1"/>
    </xf>
    <xf numFmtId="0" fontId="19" fillId="0" borderId="5" xfId="6" applyFont="1" applyBorder="1" applyAlignment="1" applyProtection="1">
      <alignment vertical="center" wrapText="1"/>
    </xf>
    <xf numFmtId="0" fontId="19" fillId="0" borderId="5" xfId="6" applyFont="1" applyFill="1" applyBorder="1" applyAlignment="1" applyProtection="1">
      <alignment horizontal="center" vertical="center" wrapText="1"/>
    </xf>
    <xf numFmtId="166" fontId="22" fillId="4" borderId="5" xfId="6" applyNumberFormat="1" applyFont="1" applyFill="1" applyBorder="1" applyAlignment="1" applyProtection="1">
      <alignment horizontal="right" vertical="center" wrapText="1" indent="1"/>
    </xf>
    <xf numFmtId="0" fontId="21" fillId="0" borderId="3" xfId="6" applyFont="1" applyBorder="1" applyAlignment="1" applyProtection="1">
      <alignment vertical="center" wrapText="1"/>
    </xf>
    <xf numFmtId="0" fontId="21" fillId="0" borderId="3" xfId="6" applyFont="1" applyFill="1" applyBorder="1" applyAlignment="1" applyProtection="1">
      <alignment horizontal="center" vertical="center" wrapText="1"/>
    </xf>
    <xf numFmtId="166" fontId="20" fillId="5" borderId="19" xfId="6" applyNumberFormat="1" applyFont="1" applyFill="1" applyBorder="1" applyAlignment="1" applyProtection="1">
      <alignment horizontal="right" vertical="center" wrapText="1" indent="1"/>
    </xf>
    <xf numFmtId="166" fontId="20" fillId="4" borderId="13" xfId="6" applyNumberFormat="1" applyFont="1" applyFill="1" applyBorder="1" applyAlignment="1" applyProtection="1">
      <alignment horizontal="right" vertical="center" wrapText="1" indent="1"/>
    </xf>
    <xf numFmtId="166" fontId="20" fillId="5" borderId="13" xfId="6" applyNumberFormat="1" applyFont="1" applyFill="1" applyBorder="1" applyAlignment="1" applyProtection="1">
      <alignment horizontal="right" vertical="center" wrapText="1" indent="1"/>
    </xf>
    <xf numFmtId="169" fontId="20" fillId="5" borderId="1" xfId="6" applyNumberFormat="1" applyFont="1" applyFill="1" applyBorder="1" applyAlignment="1" applyProtection="1">
      <alignment horizontal="right" vertical="center" wrapText="1" indent="1"/>
    </xf>
    <xf numFmtId="9" fontId="20" fillId="5" borderId="22" xfId="5" applyFont="1" applyFill="1" applyBorder="1" applyAlignment="1" applyProtection="1">
      <alignment horizontal="right" wrapText="1" indent="1"/>
    </xf>
    <xf numFmtId="9" fontId="20" fillId="5" borderId="19" xfId="5" applyFont="1" applyFill="1" applyBorder="1" applyAlignment="1" applyProtection="1">
      <alignment horizontal="right" vertical="center" wrapText="1" indent="1"/>
    </xf>
    <xf numFmtId="169" fontId="20" fillId="4" borderId="13" xfId="6" applyNumberFormat="1" applyFont="1" applyFill="1" applyBorder="1" applyAlignment="1" applyProtection="1">
      <alignment horizontal="right" vertical="center" wrapText="1" indent="1"/>
      <protection locked="0"/>
    </xf>
    <xf numFmtId="169" fontId="20" fillId="5" borderId="22" xfId="6" applyNumberFormat="1" applyFont="1" applyFill="1" applyBorder="1" applyAlignment="1" applyProtection="1">
      <alignment horizontal="right" vertical="center" wrapText="1" indent="1"/>
      <protection locked="0"/>
    </xf>
    <xf numFmtId="169" fontId="20" fillId="5" borderId="13" xfId="6" applyNumberFormat="1" applyFont="1" applyFill="1" applyBorder="1" applyAlignment="1" applyProtection="1">
      <alignment horizontal="right" vertical="center" wrapText="1" indent="1"/>
      <protection locked="0"/>
    </xf>
    <xf numFmtId="169" fontId="20" fillId="5" borderId="59" xfId="6" applyNumberFormat="1" applyFont="1" applyFill="1" applyBorder="1" applyAlignment="1" applyProtection="1">
      <alignment horizontal="right" vertical="center" wrapText="1" indent="1"/>
      <protection locked="0"/>
    </xf>
    <xf numFmtId="169" fontId="20" fillId="4" borderId="80" xfId="6" applyNumberFormat="1" applyFont="1" applyFill="1" applyBorder="1" applyAlignment="1" applyProtection="1">
      <alignment horizontal="right" vertical="center" wrapText="1" indent="1"/>
      <protection locked="0"/>
    </xf>
    <xf numFmtId="0" fontId="21" fillId="0" borderId="1" xfId="6" applyFont="1" applyFill="1" applyBorder="1" applyAlignment="1" applyProtection="1">
      <alignment vertical="center" wrapText="1"/>
    </xf>
    <xf numFmtId="166" fontId="20" fillId="4" borderId="22" xfId="6" applyNumberFormat="1" applyFont="1" applyFill="1" applyBorder="1" applyAlignment="1" applyProtection="1">
      <alignment horizontal="right" vertical="center" wrapText="1" indent="1"/>
    </xf>
    <xf numFmtId="166" fontId="20" fillId="4" borderId="19" xfId="6" applyNumberFormat="1" applyFont="1" applyFill="1" applyBorder="1" applyAlignment="1" applyProtection="1">
      <alignment horizontal="right" vertical="center" wrapText="1" indent="1"/>
    </xf>
    <xf numFmtId="166" fontId="20" fillId="4" borderId="59" xfId="6" applyNumberFormat="1" applyFont="1" applyFill="1" applyBorder="1" applyAlignment="1" applyProtection="1">
      <alignment horizontal="right" vertical="center" wrapText="1" indent="1"/>
    </xf>
    <xf numFmtId="4" fontId="20" fillId="4" borderId="80" xfId="6" applyNumberFormat="1" applyFont="1" applyFill="1" applyBorder="1" applyAlignment="1" applyProtection="1">
      <alignment horizontal="right" vertical="center" wrapText="1" indent="1"/>
    </xf>
    <xf numFmtId="166" fontId="20" fillId="5" borderId="59" xfId="6" applyNumberFormat="1" applyFont="1" applyFill="1" applyBorder="1" applyAlignment="1" applyProtection="1">
      <alignment horizontal="right" vertical="center" wrapText="1" indent="1"/>
      <protection locked="0"/>
    </xf>
    <xf numFmtId="166" fontId="20" fillId="4" borderId="80" xfId="6" applyNumberFormat="1" applyFont="1" applyFill="1" applyBorder="1" applyAlignment="1" applyProtection="1">
      <alignment horizontal="right" wrapText="1" indent="1"/>
      <protection locked="0"/>
    </xf>
    <xf numFmtId="9" fontId="20" fillId="4" borderId="1" xfId="6" applyNumberFormat="1" applyFont="1" applyFill="1" applyBorder="1" applyAlignment="1" applyProtection="1">
      <alignment horizontal="right" vertical="center" wrapText="1" indent="1"/>
    </xf>
    <xf numFmtId="9" fontId="20" fillId="4" borderId="22" xfId="6" applyNumberFormat="1" applyFont="1" applyFill="1" applyBorder="1" applyAlignment="1" applyProtection="1">
      <alignment horizontal="right" vertical="center" wrapText="1" indent="1"/>
    </xf>
    <xf numFmtId="9" fontId="20" fillId="4" borderId="19" xfId="6" applyNumberFormat="1" applyFont="1" applyFill="1" applyBorder="1" applyAlignment="1" applyProtection="1">
      <alignment horizontal="right" vertical="center" wrapText="1" indent="1"/>
    </xf>
    <xf numFmtId="9" fontId="20" fillId="4" borderId="13" xfId="6" applyNumberFormat="1" applyFont="1" applyFill="1" applyBorder="1" applyAlignment="1" applyProtection="1">
      <alignment horizontal="right" vertical="center" wrapText="1" indent="1"/>
    </xf>
    <xf numFmtId="9" fontId="20" fillId="4" borderId="59" xfId="6" applyNumberFormat="1" applyFont="1" applyFill="1" applyBorder="1" applyAlignment="1" applyProtection="1">
      <alignment horizontal="right" vertical="center" wrapText="1" indent="1"/>
    </xf>
    <xf numFmtId="9" fontId="20" fillId="4" borderId="80" xfId="6" applyNumberFormat="1" applyFont="1" applyFill="1" applyBorder="1" applyAlignment="1" applyProtection="1">
      <alignment horizontal="right" vertical="center" wrapText="1" indent="1"/>
    </xf>
    <xf numFmtId="0" fontId="21" fillId="0" borderId="4" xfId="6" applyFont="1" applyFill="1" applyBorder="1" applyAlignment="1" applyProtection="1">
      <alignment horizontal="left" vertical="center" wrapText="1"/>
    </xf>
    <xf numFmtId="170" fontId="20" fillId="5" borderId="35" xfId="6" applyNumberFormat="1" applyFont="1" applyFill="1" applyBorder="1" applyAlignment="1" applyProtection="1">
      <alignment horizontal="right" vertical="center" wrapText="1" indent="1"/>
    </xf>
    <xf numFmtId="170" fontId="20" fillId="5" borderId="59" xfId="6" applyNumberFormat="1" applyFont="1" applyFill="1" applyBorder="1" applyAlignment="1" applyProtection="1">
      <alignment horizontal="right" vertical="center" wrapText="1" indent="1"/>
    </xf>
    <xf numFmtId="166" fontId="22" fillId="4" borderId="32" xfId="6" applyNumberFormat="1" applyFont="1" applyFill="1" applyBorder="1" applyAlignment="1" applyProtection="1">
      <alignment horizontal="right" vertical="center" wrapText="1" indent="1"/>
    </xf>
    <xf numFmtId="166" fontId="22" fillId="4" borderId="33" xfId="6" applyNumberFormat="1" applyFont="1" applyFill="1" applyBorder="1" applyAlignment="1" applyProtection="1">
      <alignment horizontal="right" vertical="center" wrapText="1" indent="1"/>
    </xf>
    <xf numFmtId="166" fontId="22" fillId="4" borderId="34" xfId="6" applyNumberFormat="1" applyFont="1" applyFill="1" applyBorder="1" applyAlignment="1" applyProtection="1">
      <alignment horizontal="right" vertical="center" wrapText="1" indent="1"/>
    </xf>
    <xf numFmtId="166" fontId="22" fillId="4" borderId="84" xfId="6" applyNumberFormat="1" applyFont="1" applyFill="1" applyBorder="1" applyAlignment="1" applyProtection="1">
      <alignment horizontal="right" vertical="center" wrapText="1" indent="1"/>
    </xf>
    <xf numFmtId="166" fontId="22" fillId="4" borderId="41" xfId="6" applyNumberFormat="1" applyFont="1" applyFill="1" applyBorder="1" applyAlignment="1" applyProtection="1">
      <alignment horizontal="right" vertical="center" wrapText="1" indent="1"/>
    </xf>
    <xf numFmtId="0" fontId="21" fillId="0" borderId="3" xfId="6" applyFont="1" applyBorder="1" applyAlignment="1" applyProtection="1">
      <alignment horizontal="right" vertical="center" wrapText="1"/>
    </xf>
    <xf numFmtId="166" fontId="20" fillId="10" borderId="3" xfId="6" applyNumberFormat="1" applyFont="1" applyFill="1" applyBorder="1" applyAlignment="1" applyProtection="1">
      <alignment horizontal="center" vertical="center" wrapText="1"/>
    </xf>
    <xf numFmtId="166" fontId="20" fillId="10" borderId="30" xfId="6" applyNumberFormat="1" applyFont="1" applyFill="1" applyBorder="1" applyAlignment="1" applyProtection="1">
      <alignment horizontal="center" vertical="center" wrapText="1"/>
    </xf>
    <xf numFmtId="166" fontId="20" fillId="10" borderId="31" xfId="6" applyNumberFormat="1" applyFont="1" applyFill="1" applyBorder="1" applyAlignment="1" applyProtection="1">
      <alignment horizontal="center" vertical="center" wrapText="1"/>
      <protection locked="0"/>
    </xf>
    <xf numFmtId="166" fontId="20" fillId="10" borderId="21" xfId="6" applyNumberFormat="1" applyFont="1" applyFill="1" applyBorder="1" applyAlignment="1" applyProtection="1">
      <alignment horizontal="center" vertical="center" wrapText="1"/>
    </xf>
    <xf numFmtId="166" fontId="20" fillId="4" borderId="30" xfId="6" applyNumberFormat="1" applyFont="1" applyFill="1" applyBorder="1" applyAlignment="1" applyProtection="1">
      <alignment horizontal="center" vertical="center" wrapText="1"/>
    </xf>
    <xf numFmtId="166" fontId="20" fillId="4" borderId="21" xfId="6" applyNumberFormat="1" applyFont="1" applyFill="1" applyBorder="1" applyAlignment="1" applyProtection="1">
      <alignment horizontal="center" vertical="center" wrapText="1"/>
    </xf>
    <xf numFmtId="166" fontId="20" fillId="4" borderId="59" xfId="6" applyNumberFormat="1" applyFont="1" applyFill="1" applyBorder="1" applyAlignment="1" applyProtection="1">
      <alignment horizontal="center" vertical="center" wrapText="1"/>
    </xf>
    <xf numFmtId="166" fontId="20" fillId="4" borderId="82" xfId="6" applyNumberFormat="1" applyFont="1" applyFill="1" applyBorder="1" applyAlignment="1" applyProtection="1">
      <alignment horizontal="center" vertical="center" wrapText="1"/>
    </xf>
    <xf numFmtId="0" fontId="21" fillId="0" borderId="1" xfId="6" applyFont="1" applyBorder="1" applyAlignment="1" applyProtection="1">
      <alignment horizontal="right" vertical="center" wrapText="1"/>
    </xf>
    <xf numFmtId="166" fontId="20" fillId="10" borderId="1" xfId="6" applyNumberFormat="1" applyFont="1" applyFill="1" applyBorder="1" applyAlignment="1" applyProtection="1">
      <alignment horizontal="center" vertical="center" wrapText="1"/>
    </xf>
    <xf numFmtId="166" fontId="20" fillId="10" borderId="22" xfId="6" applyNumberFormat="1" applyFont="1" applyFill="1" applyBorder="1" applyAlignment="1" applyProtection="1">
      <alignment horizontal="center" vertical="center" wrapText="1"/>
    </xf>
    <xf numFmtId="166" fontId="20" fillId="10" borderId="19" xfId="6" applyNumberFormat="1" applyFont="1" applyFill="1" applyBorder="1" applyAlignment="1" applyProtection="1">
      <alignment horizontal="center" vertical="center" wrapText="1"/>
      <protection locked="0"/>
    </xf>
    <xf numFmtId="166" fontId="20" fillId="10" borderId="13" xfId="6" applyNumberFormat="1" applyFont="1" applyFill="1" applyBorder="1" applyAlignment="1" applyProtection="1">
      <alignment horizontal="center" vertical="center" wrapText="1"/>
    </xf>
    <xf numFmtId="0" fontId="19" fillId="0" borderId="1" xfId="6" applyFont="1" applyFill="1" applyBorder="1" applyAlignment="1" applyProtection="1">
      <alignment vertical="center" wrapText="1"/>
    </xf>
    <xf numFmtId="2" fontId="22" fillId="4" borderId="13" xfId="6" applyNumberFormat="1" applyFont="1" applyFill="1" applyBorder="1" applyAlignment="1" applyProtection="1">
      <alignment horizontal="center" vertical="center" wrapText="1"/>
    </xf>
    <xf numFmtId="2" fontId="22" fillId="4" borderId="22" xfId="6" applyNumberFormat="1" applyFont="1" applyFill="1" applyBorder="1" applyAlignment="1" applyProtection="1">
      <alignment horizontal="center" vertical="center" wrapText="1"/>
    </xf>
    <xf numFmtId="2" fontId="22" fillId="4" borderId="59" xfId="6" applyNumberFormat="1" applyFont="1" applyFill="1" applyBorder="1" applyAlignment="1" applyProtection="1">
      <alignment horizontal="center" vertical="center" wrapText="1"/>
    </xf>
    <xf numFmtId="2" fontId="22" fillId="4" borderId="80" xfId="6" applyNumberFormat="1" applyFont="1" applyFill="1" applyBorder="1" applyAlignment="1" applyProtection="1">
      <alignment horizontal="center" vertical="center" wrapText="1"/>
    </xf>
    <xf numFmtId="0" fontId="19" fillId="0" borderId="1" xfId="6" applyFont="1" applyFill="1" applyBorder="1" applyAlignment="1" applyProtection="1">
      <alignment horizontal="right" vertical="center" wrapText="1"/>
    </xf>
    <xf numFmtId="166" fontId="20" fillId="10" borderId="19" xfId="6" applyNumberFormat="1" applyFont="1" applyFill="1" applyBorder="1" applyAlignment="1" applyProtection="1">
      <alignment horizontal="center" vertical="center" wrapText="1"/>
    </xf>
    <xf numFmtId="2" fontId="22" fillId="5" borderId="22" xfId="6" applyNumberFormat="1" applyFont="1" applyFill="1" applyBorder="1" applyAlignment="1" applyProtection="1">
      <alignment horizontal="center" vertical="center" wrapText="1"/>
    </xf>
    <xf numFmtId="2" fontId="22" fillId="5" borderId="59" xfId="6" applyNumberFormat="1" applyFont="1" applyFill="1" applyBorder="1" applyAlignment="1" applyProtection="1">
      <alignment horizontal="center" vertical="center" wrapText="1"/>
    </xf>
    <xf numFmtId="2" fontId="20" fillId="5" borderId="22" xfId="6" applyNumberFormat="1" applyFont="1" applyFill="1" applyBorder="1" applyAlignment="1" applyProtection="1">
      <alignment horizontal="center" vertical="center" wrapText="1"/>
    </xf>
    <xf numFmtId="2" fontId="20" fillId="5" borderId="19" xfId="6" applyNumberFormat="1" applyFont="1" applyFill="1" applyBorder="1" applyAlignment="1" applyProtection="1">
      <alignment horizontal="center" vertical="center" wrapText="1"/>
    </xf>
    <xf numFmtId="2" fontId="20" fillId="4" borderId="13" xfId="6" applyNumberFormat="1" applyFont="1" applyFill="1" applyBorder="1" applyAlignment="1" applyProtection="1">
      <alignment horizontal="center" vertical="center" wrapText="1"/>
    </xf>
    <xf numFmtId="2" fontId="20" fillId="4" borderId="22" xfId="6" applyNumberFormat="1" applyFont="1" applyFill="1" applyBorder="1" applyAlignment="1" applyProtection="1">
      <alignment horizontal="center" vertical="center" wrapText="1"/>
    </xf>
    <xf numFmtId="2" fontId="20" fillId="4" borderId="59" xfId="6" applyNumberFormat="1" applyFont="1" applyFill="1" applyBorder="1" applyAlignment="1" applyProtection="1">
      <alignment horizontal="center" vertical="center" wrapText="1"/>
    </xf>
    <xf numFmtId="2" fontId="20" fillId="4" borderId="80" xfId="6" applyNumberFormat="1" applyFont="1" applyFill="1" applyBorder="1" applyAlignment="1" applyProtection="1">
      <alignment horizontal="center" vertical="center" wrapText="1"/>
    </xf>
    <xf numFmtId="0" fontId="21" fillId="0" borderId="1" xfId="6" applyFont="1" applyFill="1" applyBorder="1" applyAlignment="1" applyProtection="1">
      <alignment horizontal="right" vertical="center" wrapText="1"/>
    </xf>
    <xf numFmtId="2" fontId="20" fillId="5" borderId="13" xfId="6" applyNumberFormat="1" applyFont="1" applyFill="1" applyBorder="1" applyAlignment="1" applyProtection="1">
      <alignment horizontal="center" vertical="center" wrapText="1"/>
    </xf>
    <xf numFmtId="2" fontId="20" fillId="5" borderId="59" xfId="6" applyNumberFormat="1" applyFont="1" applyFill="1" applyBorder="1" applyAlignment="1" applyProtection="1">
      <alignment horizontal="center" vertical="center" wrapText="1"/>
    </xf>
    <xf numFmtId="0" fontId="21" fillId="0" borderId="4" xfId="6" applyFont="1" applyFill="1" applyBorder="1" applyAlignment="1" applyProtection="1">
      <alignment vertical="center" wrapText="1"/>
    </xf>
    <xf numFmtId="10" fontId="20" fillId="4" borderId="17" xfId="6" applyNumberFormat="1" applyFont="1" applyFill="1" applyBorder="1" applyAlignment="1" applyProtection="1">
      <alignment horizontal="center" vertical="center" wrapText="1"/>
    </xf>
    <xf numFmtId="10" fontId="20" fillId="4" borderId="25" xfId="6" applyNumberFormat="1" applyFont="1" applyFill="1" applyBorder="1" applyAlignment="1" applyProtection="1">
      <alignment horizontal="center" vertical="center" wrapText="1"/>
    </xf>
    <xf numFmtId="10" fontId="20" fillId="4" borderId="2" xfId="6" applyNumberFormat="1" applyFont="1" applyFill="1" applyBorder="1" applyAlignment="1" applyProtection="1">
      <alignment horizontal="center" vertical="center" wrapText="1"/>
    </xf>
    <xf numFmtId="10" fontId="20" fillId="4" borderId="16" xfId="6" applyNumberFormat="1" applyFont="1" applyFill="1" applyBorder="1" applyAlignment="1" applyProtection="1">
      <alignment horizontal="center" vertical="center" wrapText="1"/>
    </xf>
    <xf numFmtId="10" fontId="20" fillId="4" borderId="59" xfId="6" applyNumberFormat="1" applyFont="1" applyFill="1" applyBorder="1" applyAlignment="1" applyProtection="1">
      <alignment horizontal="center" vertical="center" wrapText="1"/>
    </xf>
    <xf numFmtId="10" fontId="20" fillId="4" borderId="81" xfId="6" applyNumberFormat="1" applyFont="1" applyFill="1" applyBorder="1" applyAlignment="1" applyProtection="1">
      <alignment horizontal="center" vertical="center" wrapText="1"/>
    </xf>
    <xf numFmtId="0" fontId="21" fillId="0" borderId="6" xfId="6" applyFont="1" applyFill="1" applyBorder="1" applyAlignment="1" applyProtection="1">
      <alignment vertical="center" wrapText="1"/>
    </xf>
    <xf numFmtId="0" fontId="21" fillId="0" borderId="6" xfId="6" applyFont="1" applyFill="1" applyBorder="1" applyAlignment="1" applyProtection="1">
      <alignment horizontal="center" vertical="center" wrapText="1"/>
    </xf>
    <xf numFmtId="166" fontId="20" fillId="10" borderId="6" xfId="6" applyNumberFormat="1" applyFont="1" applyFill="1" applyBorder="1" applyAlignment="1" applyProtection="1">
      <alignment horizontal="center" vertical="center" wrapText="1"/>
    </xf>
    <xf numFmtId="171" fontId="20" fillId="4" borderId="24" xfId="6" applyNumberFormat="1" applyFont="1" applyFill="1" applyBorder="1" applyAlignment="1" applyProtection="1">
      <alignment horizontal="center" vertical="center" wrapText="1"/>
    </xf>
    <xf numFmtId="166" fontId="20" fillId="4" borderId="15" xfId="6" applyNumberFormat="1" applyFont="1" applyFill="1" applyBorder="1" applyAlignment="1" applyProtection="1">
      <alignment horizontal="center" vertical="center" wrapText="1"/>
    </xf>
    <xf numFmtId="171" fontId="20" fillId="4" borderId="24" xfId="6" applyNumberFormat="1" applyFont="1" applyFill="1" applyBorder="1" applyAlignment="1" applyProtection="1">
      <alignment horizontal="center" vertical="center" wrapText="1"/>
      <protection locked="0"/>
    </xf>
    <xf numFmtId="166" fontId="20" fillId="4" borderId="15" xfId="6" applyNumberFormat="1" applyFont="1" applyFill="1" applyBorder="1" applyAlignment="1" applyProtection="1">
      <alignment horizontal="center" vertical="center" wrapText="1"/>
      <protection locked="0"/>
    </xf>
    <xf numFmtId="171" fontId="20" fillId="4" borderId="58" xfId="6" applyNumberFormat="1" applyFont="1" applyFill="1" applyBorder="1" applyAlignment="1" applyProtection="1">
      <alignment horizontal="center" vertical="center" wrapText="1"/>
      <protection locked="0"/>
    </xf>
    <xf numFmtId="171" fontId="20" fillId="4" borderId="40" xfId="6" applyNumberFormat="1" applyFont="1" applyFill="1" applyBorder="1" applyAlignment="1" applyProtection="1">
      <alignment horizontal="center" vertical="center" wrapText="1"/>
      <protection locked="0"/>
    </xf>
    <xf numFmtId="171" fontId="20" fillId="5" borderId="22" xfId="6" applyNumberFormat="1" applyFont="1" applyFill="1" applyBorder="1" applyAlignment="1" applyProtection="1">
      <alignment horizontal="center" vertical="center" wrapText="1"/>
    </xf>
    <xf numFmtId="4" fontId="20" fillId="10" borderId="22" xfId="6" applyNumberFormat="1" applyFont="1" applyFill="1" applyBorder="1" applyAlignment="1" applyProtection="1">
      <alignment horizontal="center" vertical="center" wrapText="1"/>
      <protection locked="0"/>
    </xf>
    <xf numFmtId="4" fontId="20" fillId="10" borderId="13" xfId="6" applyNumberFormat="1" applyFont="1" applyFill="1" applyBorder="1" applyAlignment="1" applyProtection="1">
      <alignment horizontal="center" vertical="center" wrapText="1"/>
      <protection locked="0"/>
    </xf>
    <xf numFmtId="4" fontId="20" fillId="10" borderId="59" xfId="6" applyNumberFormat="1" applyFont="1" applyFill="1" applyBorder="1" applyAlignment="1" applyProtection="1">
      <alignment horizontal="center" vertical="center" wrapText="1"/>
      <protection locked="0"/>
    </xf>
    <xf numFmtId="4" fontId="20" fillId="10" borderId="80" xfId="6" applyNumberFormat="1" applyFont="1" applyFill="1" applyBorder="1" applyAlignment="1" applyProtection="1">
      <alignment horizontal="center" vertical="center" wrapText="1"/>
    </xf>
    <xf numFmtId="171" fontId="20" fillId="4" borderId="22" xfId="6" applyNumberFormat="1" applyFont="1" applyFill="1" applyBorder="1" applyAlignment="1" applyProtection="1">
      <alignment horizontal="center" vertical="center" wrapText="1"/>
    </xf>
    <xf numFmtId="166" fontId="20" fillId="4" borderId="19" xfId="6" applyNumberFormat="1" applyFont="1" applyFill="1" applyBorder="1" applyAlignment="1" applyProtection="1">
      <alignment horizontal="center" vertical="center" wrapText="1"/>
    </xf>
    <xf numFmtId="166" fontId="20" fillId="4" borderId="13" xfId="6" applyNumberFormat="1" applyFont="1" applyFill="1" applyBorder="1" applyAlignment="1" applyProtection="1">
      <alignment horizontal="center" vertical="center" wrapText="1"/>
    </xf>
    <xf numFmtId="173" fontId="20" fillId="4" borderId="13" xfId="6" applyNumberFormat="1" applyFont="1" applyFill="1" applyBorder="1" applyAlignment="1" applyProtection="1">
      <alignment horizontal="center" vertical="center" wrapText="1"/>
    </xf>
    <xf numFmtId="171" fontId="20" fillId="4" borderId="59" xfId="6" applyNumberFormat="1" applyFont="1" applyFill="1" applyBorder="1" applyAlignment="1" applyProtection="1">
      <alignment horizontal="center" vertical="center" wrapText="1"/>
    </xf>
    <xf numFmtId="171" fontId="20" fillId="4" borderId="80" xfId="6" applyNumberFormat="1" applyFont="1" applyFill="1" applyBorder="1" applyAlignment="1" applyProtection="1">
      <alignment horizontal="center" vertical="center" wrapText="1"/>
    </xf>
    <xf numFmtId="171" fontId="20" fillId="5" borderId="59" xfId="6" applyNumberFormat="1" applyFont="1" applyFill="1" applyBorder="1" applyAlignment="1" applyProtection="1">
      <alignment horizontal="center" vertical="center" wrapText="1"/>
    </xf>
    <xf numFmtId="166" fontId="20" fillId="5" borderId="22" xfId="6" applyNumberFormat="1" applyFont="1" applyFill="1" applyBorder="1" applyAlignment="1" applyProtection="1">
      <alignment horizontal="center" vertical="center" wrapText="1"/>
    </xf>
    <xf numFmtId="171" fontId="20" fillId="10" borderId="22" xfId="6" applyNumberFormat="1" applyFont="1" applyFill="1" applyBorder="1" applyAlignment="1" applyProtection="1">
      <alignment horizontal="center" vertical="center" wrapText="1"/>
    </xf>
    <xf numFmtId="171" fontId="20" fillId="10" borderId="19" xfId="6" applyNumberFormat="1" applyFont="1" applyFill="1" applyBorder="1" applyAlignment="1" applyProtection="1">
      <alignment horizontal="center" vertical="center" wrapText="1"/>
      <protection locked="0"/>
    </xf>
    <xf numFmtId="171" fontId="20" fillId="10" borderId="13" xfId="6" applyNumberFormat="1" applyFont="1" applyFill="1" applyBorder="1" applyAlignment="1" applyProtection="1">
      <alignment horizontal="center" vertical="center" wrapText="1"/>
    </xf>
    <xf numFmtId="171" fontId="20" fillId="5" borderId="71" xfId="6" applyNumberFormat="1" applyFont="1" applyFill="1" applyBorder="1" applyAlignment="1" applyProtection="1">
      <alignment horizontal="center" vertical="center" wrapText="1"/>
    </xf>
    <xf numFmtId="171" fontId="20" fillId="4" borderId="83" xfId="6" applyNumberFormat="1" applyFont="1" applyFill="1" applyBorder="1" applyAlignment="1" applyProtection="1">
      <alignment horizontal="center" vertical="center" wrapText="1"/>
    </xf>
    <xf numFmtId="171" fontId="20" fillId="4" borderId="6" xfId="6" applyNumberFormat="1" applyFont="1" applyFill="1" applyBorder="1" applyAlignment="1" applyProtection="1">
      <alignment horizontal="center" vertical="center" wrapText="1"/>
    </xf>
    <xf numFmtId="171" fontId="20" fillId="5" borderId="24" xfId="6" applyNumberFormat="1" applyFont="1" applyFill="1" applyBorder="1" applyAlignment="1" applyProtection="1">
      <alignment horizontal="center" vertical="center" wrapText="1"/>
    </xf>
    <xf numFmtId="171" fontId="20" fillId="4" borderId="15" xfId="6" applyNumberFormat="1" applyFont="1" applyFill="1" applyBorder="1" applyAlignment="1" applyProtection="1">
      <alignment horizontal="center" vertical="center" wrapText="1"/>
    </xf>
    <xf numFmtId="171" fontId="20" fillId="5" borderId="24" xfId="6" applyNumberFormat="1" applyFont="1" applyFill="1" applyBorder="1" applyAlignment="1" applyProtection="1">
      <alignment horizontal="center" vertical="center" wrapText="1"/>
      <protection locked="0"/>
    </xf>
    <xf numFmtId="171" fontId="20" fillId="5" borderId="59" xfId="6" applyNumberFormat="1" applyFont="1" applyFill="1" applyBorder="1" applyAlignment="1" applyProtection="1">
      <alignment horizontal="center" vertical="center" wrapText="1"/>
      <protection locked="0"/>
    </xf>
    <xf numFmtId="171" fontId="20" fillId="4" borderId="82" xfId="6" applyNumberFormat="1" applyFont="1" applyFill="1" applyBorder="1" applyAlignment="1" applyProtection="1">
      <alignment horizontal="center" vertical="center" wrapText="1"/>
    </xf>
    <xf numFmtId="171" fontId="20" fillId="10" borderId="1" xfId="6" applyNumberFormat="1" applyFont="1" applyFill="1" applyBorder="1" applyAlignment="1" applyProtection="1">
      <alignment horizontal="center" vertical="center" wrapText="1"/>
    </xf>
    <xf numFmtId="171" fontId="20" fillId="5" borderId="22" xfId="6" applyNumberFormat="1" applyFont="1" applyFill="1" applyBorder="1" applyAlignment="1" applyProtection="1">
      <alignment horizontal="center" vertical="center" wrapText="1"/>
      <protection locked="0"/>
    </xf>
    <xf numFmtId="171" fontId="20" fillId="5" borderId="35" xfId="6" applyNumberFormat="1" applyFont="1" applyFill="1" applyBorder="1" applyAlignment="1" applyProtection="1">
      <alignment horizontal="center" vertical="center" wrapText="1"/>
      <protection locked="0"/>
    </xf>
    <xf numFmtId="171" fontId="20" fillId="4" borderId="81" xfId="6" applyNumberFormat="1" applyFont="1" applyFill="1" applyBorder="1" applyAlignment="1" applyProtection="1">
      <alignment horizontal="center" vertical="center" wrapText="1"/>
    </xf>
    <xf numFmtId="0" fontId="21" fillId="0" borderId="7" xfId="6" applyFont="1" applyFill="1" applyBorder="1" applyAlignment="1" applyProtection="1">
      <alignment horizontal="right" vertical="center" wrapText="1"/>
    </xf>
    <xf numFmtId="0" fontId="21" fillId="0" borderId="7" xfId="6" applyFont="1" applyFill="1" applyBorder="1" applyAlignment="1" applyProtection="1">
      <alignment horizontal="center" vertical="center" wrapText="1"/>
    </xf>
    <xf numFmtId="171" fontId="20" fillId="10" borderId="7" xfId="6" applyNumberFormat="1" applyFont="1" applyFill="1" applyBorder="1" applyAlignment="1" applyProtection="1">
      <alignment horizontal="center" vertical="center" wrapText="1"/>
    </xf>
    <xf numFmtId="171" fontId="20" fillId="10" borderId="25" xfId="6" applyNumberFormat="1" applyFont="1" applyFill="1" applyBorder="1" applyAlignment="1" applyProtection="1">
      <alignment horizontal="center" vertical="center" wrapText="1"/>
    </xf>
    <xf numFmtId="171" fontId="20" fillId="10" borderId="2" xfId="6" applyNumberFormat="1" applyFont="1" applyFill="1" applyBorder="1" applyAlignment="1" applyProtection="1">
      <alignment horizontal="center" vertical="center" wrapText="1"/>
      <protection locked="0"/>
    </xf>
    <xf numFmtId="171" fontId="20" fillId="10" borderId="16" xfId="6" applyNumberFormat="1" applyFont="1" applyFill="1" applyBorder="1" applyAlignment="1" applyProtection="1">
      <alignment horizontal="center" vertical="center" wrapText="1"/>
    </xf>
    <xf numFmtId="171" fontId="20" fillId="5" borderId="25" xfId="6" applyNumberFormat="1" applyFont="1" applyFill="1" applyBorder="1" applyAlignment="1" applyProtection="1">
      <alignment horizontal="center" vertical="center" wrapText="1"/>
      <protection locked="0"/>
    </xf>
    <xf numFmtId="166" fontId="20" fillId="4" borderId="13" xfId="6" applyNumberFormat="1" applyFont="1" applyFill="1" applyBorder="1" applyAlignment="1" applyProtection="1">
      <alignment horizontal="center" vertical="center" wrapText="1"/>
      <protection locked="0"/>
    </xf>
    <xf numFmtId="166" fontId="20" fillId="5" borderId="22" xfId="6" applyNumberFormat="1" applyFont="1" applyFill="1" applyBorder="1" applyAlignment="1" applyProtection="1">
      <alignment horizontal="center" vertical="center" wrapText="1"/>
      <protection locked="0"/>
    </xf>
    <xf numFmtId="166" fontId="20" fillId="4" borderId="40" xfId="6" applyNumberFormat="1" applyFont="1" applyFill="1" applyBorder="1" applyAlignment="1" applyProtection="1">
      <alignment horizontal="center" vertical="center" wrapText="1"/>
      <protection locked="0"/>
    </xf>
    <xf numFmtId="0" fontId="21" fillId="0" borderId="7" xfId="6" applyFont="1" applyFill="1" applyBorder="1" applyAlignment="1" applyProtection="1">
      <alignment vertical="center" wrapText="1"/>
    </xf>
    <xf numFmtId="166" fontId="20" fillId="10" borderId="7" xfId="6" applyNumberFormat="1" applyFont="1" applyFill="1" applyBorder="1" applyAlignment="1" applyProtection="1">
      <alignment horizontal="center" vertical="center" wrapText="1"/>
    </xf>
    <xf numFmtId="166" fontId="20" fillId="4" borderId="16" xfId="6" applyNumberFormat="1" applyFont="1" applyFill="1" applyBorder="1" applyAlignment="1" applyProtection="1">
      <alignment horizontal="center" vertical="center" wrapText="1"/>
    </xf>
    <xf numFmtId="166" fontId="20" fillId="5" borderId="25" xfId="6" applyNumberFormat="1" applyFont="1" applyFill="1" applyBorder="1" applyAlignment="1" applyProtection="1">
      <alignment horizontal="center" vertical="center" wrapText="1"/>
      <protection locked="0"/>
    </xf>
    <xf numFmtId="166" fontId="20" fillId="5" borderId="71" xfId="6" applyNumberFormat="1" applyFont="1" applyFill="1" applyBorder="1" applyAlignment="1" applyProtection="1">
      <alignment horizontal="center" vertical="center" wrapText="1"/>
      <protection locked="0"/>
    </xf>
    <xf numFmtId="166" fontId="20" fillId="4" borderId="83" xfId="6" applyNumberFormat="1" applyFont="1" applyFill="1" applyBorder="1" applyAlignment="1" applyProtection="1">
      <alignment horizontal="center" vertical="center" wrapText="1"/>
    </xf>
    <xf numFmtId="166" fontId="20" fillId="4" borderId="6" xfId="6" applyNumberFormat="1" applyFont="1" applyFill="1" applyBorder="1" applyAlignment="1" applyProtection="1">
      <alignment horizontal="center" vertical="center" wrapText="1"/>
    </xf>
    <xf numFmtId="166" fontId="20" fillId="4" borderId="24" xfId="6" applyNumberFormat="1" applyFont="1" applyFill="1" applyBorder="1" applyAlignment="1" applyProtection="1">
      <alignment horizontal="center" vertical="center" wrapText="1"/>
    </xf>
    <xf numFmtId="166" fontId="20" fillId="4" borderId="23" xfId="6" applyNumberFormat="1" applyFont="1" applyFill="1" applyBorder="1" applyAlignment="1" applyProtection="1">
      <alignment horizontal="center" vertical="center" wrapText="1"/>
      <protection locked="0"/>
    </xf>
    <xf numFmtId="166" fontId="20" fillId="4" borderId="58" xfId="6" applyNumberFormat="1" applyFont="1" applyFill="1" applyBorder="1" applyAlignment="1" applyProtection="1">
      <alignment horizontal="center" vertical="center" wrapText="1"/>
    </xf>
    <xf numFmtId="166" fontId="20" fillId="4" borderId="40" xfId="6" applyNumberFormat="1" applyFont="1" applyFill="1" applyBorder="1" applyAlignment="1" applyProtection="1">
      <alignment horizontal="center" vertical="center" wrapText="1"/>
    </xf>
    <xf numFmtId="166" fontId="20" fillId="5" borderId="59" xfId="6" applyNumberFormat="1" applyFont="1" applyFill="1" applyBorder="1" applyAlignment="1" applyProtection="1">
      <alignment horizontal="center" vertical="center" wrapText="1"/>
      <protection locked="0"/>
    </xf>
    <xf numFmtId="166" fontId="20" fillId="4" borderId="80" xfId="6" applyNumberFormat="1" applyFont="1" applyFill="1" applyBorder="1" applyAlignment="1" applyProtection="1">
      <alignment horizontal="center" vertical="center" wrapText="1"/>
    </xf>
    <xf numFmtId="4" fontId="20" fillId="4" borderId="22" xfId="6" applyNumberFormat="1" applyFont="1" applyFill="1" applyBorder="1" applyAlignment="1" applyProtection="1">
      <alignment horizontal="center" vertical="center" wrapText="1"/>
    </xf>
    <xf numFmtId="4" fontId="20" fillId="4" borderId="13" xfId="6" applyNumberFormat="1" applyFont="1" applyFill="1" applyBorder="1" applyAlignment="1" applyProtection="1">
      <alignment horizontal="center" vertical="center" wrapText="1"/>
    </xf>
    <xf numFmtId="4" fontId="20" fillId="4" borderId="59" xfId="6" applyNumberFormat="1" applyFont="1" applyFill="1" applyBorder="1" applyAlignment="1" applyProtection="1">
      <alignment horizontal="center" vertical="center" wrapText="1"/>
    </xf>
    <xf numFmtId="4" fontId="20" fillId="4" borderId="80" xfId="6" applyNumberFormat="1" applyFont="1" applyFill="1" applyBorder="1" applyAlignment="1" applyProtection="1">
      <alignment horizontal="center" vertical="center" wrapText="1"/>
    </xf>
    <xf numFmtId="166" fontId="20" fillId="10" borderId="25" xfId="6" applyNumberFormat="1" applyFont="1" applyFill="1" applyBorder="1" applyAlignment="1" applyProtection="1">
      <alignment horizontal="center" vertical="center" wrapText="1"/>
    </xf>
    <xf numFmtId="166" fontId="20" fillId="10" borderId="2" xfId="6" applyNumberFormat="1" applyFont="1" applyFill="1" applyBorder="1" applyAlignment="1" applyProtection="1">
      <alignment horizontal="center" vertical="center" wrapText="1"/>
      <protection locked="0"/>
    </xf>
    <xf numFmtId="166" fontId="20" fillId="10" borderId="16" xfId="6" applyNumberFormat="1" applyFont="1" applyFill="1" applyBorder="1" applyAlignment="1" applyProtection="1">
      <alignment horizontal="center" vertical="center" wrapText="1"/>
    </xf>
    <xf numFmtId="4" fontId="20" fillId="4" borderId="71" xfId="6" applyNumberFormat="1" applyFont="1" applyFill="1" applyBorder="1" applyAlignment="1" applyProtection="1">
      <alignment horizontal="center" vertical="center" wrapText="1"/>
    </xf>
    <xf numFmtId="4" fontId="20" fillId="4" borderId="83" xfId="6" applyNumberFormat="1" applyFont="1" applyFill="1" applyBorder="1" applyAlignment="1" applyProtection="1">
      <alignment horizontal="center" vertical="center" wrapText="1"/>
    </xf>
    <xf numFmtId="166" fontId="20" fillId="4" borderId="23" xfId="6" applyNumberFormat="1" applyFont="1" applyFill="1" applyBorder="1" applyAlignment="1" applyProtection="1">
      <alignment horizontal="center" vertical="center" wrapText="1"/>
    </xf>
    <xf numFmtId="4" fontId="20" fillId="4" borderId="24" xfId="6" applyNumberFormat="1" applyFont="1" applyFill="1" applyBorder="1" applyAlignment="1" applyProtection="1">
      <alignment horizontal="center" vertical="center" wrapText="1"/>
    </xf>
    <xf numFmtId="4" fontId="20" fillId="4" borderId="15" xfId="6" applyNumberFormat="1" applyFont="1" applyFill="1" applyBorder="1" applyAlignment="1" applyProtection="1">
      <alignment horizontal="center" vertical="center" wrapText="1"/>
    </xf>
    <xf numFmtId="4" fontId="20" fillId="4" borderId="58" xfId="6" applyNumberFormat="1" applyFont="1" applyFill="1" applyBorder="1" applyAlignment="1" applyProtection="1">
      <alignment horizontal="center" vertical="center" wrapText="1"/>
    </xf>
    <xf numFmtId="4" fontId="20" fillId="4" borderId="40" xfId="6" applyNumberFormat="1" applyFont="1" applyFill="1" applyBorder="1" applyAlignment="1" applyProtection="1">
      <alignment horizontal="center" vertical="center" wrapText="1"/>
    </xf>
    <xf numFmtId="4" fontId="20" fillId="4" borderId="19" xfId="6" applyNumberFormat="1" applyFont="1" applyFill="1" applyBorder="1" applyAlignment="1" applyProtection="1">
      <alignment horizontal="center" vertical="center" wrapText="1"/>
    </xf>
    <xf numFmtId="166" fontId="20" fillId="5" borderId="80" xfId="6" applyNumberFormat="1" applyFont="1" applyFill="1" applyBorder="1" applyAlignment="1" applyProtection="1">
      <alignment horizontal="center" vertical="center" wrapText="1"/>
    </xf>
    <xf numFmtId="4" fontId="20" fillId="5" borderId="80" xfId="6" applyNumberFormat="1" applyFont="1" applyFill="1" applyBorder="1" applyAlignment="1" applyProtection="1">
      <alignment horizontal="center" vertical="center" wrapText="1"/>
    </xf>
    <xf numFmtId="166" fontId="20" fillId="4" borderId="22" xfId="6" applyNumberFormat="1" applyFont="1" applyFill="1" applyBorder="1" applyAlignment="1" applyProtection="1">
      <alignment horizontal="center" vertical="center" wrapText="1"/>
    </xf>
    <xf numFmtId="166" fontId="20" fillId="4" borderId="71" xfId="6" applyNumberFormat="1" applyFont="1" applyFill="1" applyBorder="1" applyAlignment="1" applyProtection="1">
      <alignment horizontal="center" vertical="center" wrapText="1"/>
    </xf>
    <xf numFmtId="4" fontId="20" fillId="5" borderId="24" xfId="6" applyNumberFormat="1" applyFont="1" applyFill="1" applyBorder="1" applyAlignment="1" applyProtection="1">
      <alignment horizontal="center" vertical="center" wrapText="1"/>
    </xf>
    <xf numFmtId="4" fontId="20" fillId="5" borderId="6" xfId="6" applyNumberFormat="1" applyFont="1" applyFill="1" applyBorder="1" applyAlignment="1" applyProtection="1">
      <alignment horizontal="center" vertical="center" wrapText="1"/>
    </xf>
    <xf numFmtId="4" fontId="20" fillId="5" borderId="59" xfId="6" applyNumberFormat="1" applyFont="1" applyFill="1" applyBorder="1" applyAlignment="1" applyProtection="1">
      <alignment horizontal="center" vertical="center" wrapText="1"/>
    </xf>
    <xf numFmtId="4" fontId="20" fillId="4" borderId="82" xfId="6" applyNumberFormat="1" applyFont="1" applyFill="1" applyBorder="1" applyAlignment="1" applyProtection="1">
      <alignment horizontal="center" vertical="center" wrapText="1"/>
    </xf>
    <xf numFmtId="4" fontId="20" fillId="10" borderId="19" xfId="6" applyNumberFormat="1" applyFont="1" applyFill="1" applyBorder="1" applyAlignment="1" applyProtection="1">
      <alignment horizontal="center" vertical="center" wrapText="1"/>
    </xf>
    <xf numFmtId="4" fontId="20" fillId="10" borderId="13" xfId="6" applyNumberFormat="1" applyFont="1" applyFill="1" applyBorder="1" applyAlignment="1" applyProtection="1">
      <alignment horizontal="center" vertical="center" wrapText="1"/>
    </xf>
    <xf numFmtId="166" fontId="20" fillId="5" borderId="19" xfId="6" applyNumberFormat="1" applyFont="1" applyFill="1" applyBorder="1" applyAlignment="1" applyProtection="1">
      <alignment horizontal="center" vertical="center" wrapText="1"/>
    </xf>
    <xf numFmtId="4" fontId="20" fillId="5" borderId="22" xfId="6" applyNumberFormat="1" applyFont="1" applyFill="1" applyBorder="1" applyAlignment="1" applyProtection="1">
      <alignment horizontal="center" vertical="center" wrapText="1"/>
      <protection locked="0"/>
    </xf>
    <xf numFmtId="4" fontId="20" fillId="5" borderId="13" xfId="6" applyNumberFormat="1" applyFont="1" applyFill="1" applyBorder="1" applyAlignment="1" applyProtection="1">
      <alignment horizontal="center" vertical="center" wrapText="1"/>
      <protection locked="0"/>
    </xf>
    <xf numFmtId="4" fontId="20" fillId="5" borderId="59" xfId="6" applyNumberFormat="1" applyFont="1" applyFill="1" applyBorder="1" applyAlignment="1" applyProtection="1">
      <alignment horizontal="center" vertical="center" wrapText="1"/>
      <protection locked="0"/>
    </xf>
    <xf numFmtId="4" fontId="20" fillId="5" borderId="22" xfId="6" applyNumberFormat="1" applyFont="1" applyFill="1" applyBorder="1" applyAlignment="1" applyProtection="1">
      <alignment horizontal="center" vertical="center" wrapText="1"/>
    </xf>
    <xf numFmtId="4" fontId="49" fillId="0" borderId="0" xfId="6" applyNumberFormat="1" applyFont="1"/>
    <xf numFmtId="166" fontId="20" fillId="5" borderId="25" xfId="6" applyNumberFormat="1" applyFont="1" applyFill="1" applyBorder="1" applyAlignment="1" applyProtection="1">
      <alignment horizontal="center" vertical="center" wrapText="1"/>
    </xf>
    <xf numFmtId="166" fontId="20" fillId="5" borderId="2" xfId="6" applyNumberFormat="1" applyFont="1" applyFill="1" applyBorder="1" applyAlignment="1" applyProtection="1">
      <alignment horizontal="center" vertical="center" wrapText="1"/>
    </xf>
    <xf numFmtId="4" fontId="20" fillId="10" borderId="16" xfId="6" applyNumberFormat="1" applyFont="1" applyFill="1" applyBorder="1" applyAlignment="1" applyProtection="1">
      <alignment horizontal="center" vertical="center" wrapText="1"/>
    </xf>
    <xf numFmtId="4" fontId="20" fillId="5" borderId="25" xfId="6" applyNumberFormat="1" applyFont="1" applyFill="1" applyBorder="1" applyAlignment="1" applyProtection="1">
      <alignment horizontal="center" vertical="center" wrapText="1"/>
      <protection locked="0"/>
    </xf>
    <xf numFmtId="4" fontId="20" fillId="5" borderId="16" xfId="6" applyNumberFormat="1" applyFont="1" applyFill="1" applyBorder="1" applyAlignment="1" applyProtection="1">
      <alignment horizontal="center" vertical="center" wrapText="1"/>
      <protection locked="0"/>
    </xf>
    <xf numFmtId="0" fontId="21" fillId="0" borderId="8" xfId="6" applyFont="1" applyFill="1" applyBorder="1" applyAlignment="1" applyProtection="1">
      <alignment vertical="center" wrapText="1"/>
    </xf>
    <xf numFmtId="0" fontId="21" fillId="0" borderId="8" xfId="6" applyFont="1" applyFill="1" applyBorder="1" applyAlignment="1" applyProtection="1">
      <alignment horizontal="center" vertical="center" wrapText="1"/>
    </xf>
    <xf numFmtId="166" fontId="20" fillId="5" borderId="14" xfId="6" applyNumberFormat="1" applyFont="1" applyFill="1" applyBorder="1" applyAlignment="1" applyProtection="1">
      <alignment horizontal="center" vertical="center" wrapText="1"/>
    </xf>
    <xf numFmtId="166" fontId="20" fillId="5" borderId="38" xfId="6" applyNumberFormat="1" applyFont="1" applyFill="1" applyBorder="1" applyAlignment="1" applyProtection="1">
      <alignment horizontal="center" vertical="center" wrapText="1"/>
    </xf>
    <xf numFmtId="166" fontId="20" fillId="4" borderId="11" xfId="6" applyNumberFormat="1" applyFont="1" applyFill="1" applyBorder="1" applyAlignment="1" applyProtection="1">
      <alignment horizontal="right" wrapText="1" indent="1"/>
      <protection locked="0"/>
    </xf>
    <xf numFmtId="166" fontId="20" fillId="5" borderId="38" xfId="6" applyNumberFormat="1" applyFont="1" applyFill="1" applyBorder="1" applyAlignment="1" applyProtection="1">
      <alignment horizontal="center" vertical="center" wrapText="1"/>
      <protection locked="0"/>
    </xf>
    <xf numFmtId="166" fontId="20" fillId="5" borderId="14" xfId="6" applyNumberFormat="1" applyFont="1" applyFill="1" applyBorder="1" applyAlignment="1" applyProtection="1">
      <alignment horizontal="center" vertical="center" wrapText="1"/>
      <protection locked="0"/>
    </xf>
    <xf numFmtId="166" fontId="20" fillId="4" borderId="41" xfId="6" applyNumberFormat="1" applyFont="1" applyFill="1" applyBorder="1" applyAlignment="1" applyProtection="1">
      <alignment horizontal="right" wrapText="1" indent="1"/>
      <protection locked="0"/>
    </xf>
    <xf numFmtId="4" fontId="20" fillId="10" borderId="31" xfId="6" applyNumberFormat="1" applyFont="1" applyFill="1" applyBorder="1" applyAlignment="1" applyProtection="1">
      <alignment horizontal="center" vertical="center" wrapText="1"/>
    </xf>
    <xf numFmtId="4" fontId="20" fillId="10" borderId="21" xfId="6" applyNumberFormat="1" applyFont="1" applyFill="1" applyBorder="1" applyAlignment="1" applyProtection="1">
      <alignment horizontal="center" vertical="center" wrapText="1"/>
    </xf>
    <xf numFmtId="4" fontId="20" fillId="10" borderId="30" xfId="6" applyNumberFormat="1" applyFont="1" applyFill="1" applyBorder="1" applyAlignment="1" applyProtection="1">
      <alignment horizontal="center" vertical="center" wrapText="1"/>
      <protection locked="0"/>
    </xf>
    <xf numFmtId="4" fontId="20" fillId="10" borderId="21" xfId="6" applyNumberFormat="1" applyFont="1" applyFill="1" applyBorder="1" applyAlignment="1" applyProtection="1">
      <alignment horizontal="center" vertical="center" wrapText="1"/>
      <protection locked="0"/>
    </xf>
    <xf numFmtId="4" fontId="20" fillId="10" borderId="82" xfId="6" applyNumberFormat="1" applyFont="1" applyFill="1" applyBorder="1" applyAlignment="1" applyProtection="1">
      <alignment horizontal="center" vertical="center" wrapText="1"/>
    </xf>
    <xf numFmtId="168" fontId="21" fillId="0" borderId="1" xfId="6" applyNumberFormat="1" applyFont="1" applyFill="1" applyBorder="1" applyAlignment="1" applyProtection="1">
      <alignment horizontal="center" vertical="center" wrapText="1"/>
    </xf>
    <xf numFmtId="171" fontId="20" fillId="4" borderId="13" xfId="6" applyNumberFormat="1" applyFont="1" applyFill="1" applyBorder="1" applyAlignment="1" applyProtection="1">
      <alignment horizontal="center" vertical="center" wrapText="1"/>
    </xf>
    <xf numFmtId="168" fontId="21" fillId="0" borderId="7" xfId="6" applyNumberFormat="1" applyFont="1" applyFill="1" applyBorder="1" applyAlignment="1" applyProtection="1">
      <alignment horizontal="center" vertical="center" wrapText="1"/>
    </xf>
    <xf numFmtId="0" fontId="21" fillId="0" borderId="3" xfId="6" applyFont="1" applyFill="1" applyBorder="1" applyAlignment="1" applyProtection="1">
      <alignment vertical="center" wrapText="1"/>
    </xf>
    <xf numFmtId="166" fontId="20" fillId="5" borderId="24" xfId="6" applyNumberFormat="1" applyFont="1" applyFill="1" applyBorder="1" applyAlignment="1" applyProtection="1">
      <alignment horizontal="center" vertical="center" wrapText="1"/>
    </xf>
    <xf numFmtId="166" fontId="20" fillId="5" borderId="23" xfId="6" applyNumberFormat="1" applyFont="1" applyFill="1" applyBorder="1" applyAlignment="1" applyProtection="1">
      <alignment horizontal="center" vertical="center" wrapText="1"/>
      <protection locked="0"/>
    </xf>
    <xf numFmtId="2" fontId="21" fillId="0" borderId="1" xfId="6" applyNumberFormat="1" applyFont="1" applyFill="1" applyBorder="1" applyAlignment="1" applyProtection="1">
      <alignment horizontal="center" vertical="center" wrapText="1"/>
    </xf>
    <xf numFmtId="1" fontId="20" fillId="5" borderId="1" xfId="6" applyNumberFormat="1" applyFont="1" applyFill="1" applyBorder="1" applyAlignment="1" applyProtection="1">
      <alignment horizontal="center" vertical="center" wrapText="1"/>
    </xf>
    <xf numFmtId="1" fontId="20" fillId="5" borderId="22" xfId="6" applyNumberFormat="1" applyFont="1" applyFill="1" applyBorder="1" applyAlignment="1" applyProtection="1">
      <alignment horizontal="center" vertical="center" wrapText="1"/>
    </xf>
    <xf numFmtId="1" fontId="20" fillId="5" borderId="19" xfId="6" applyNumberFormat="1" applyFont="1" applyFill="1" applyBorder="1" applyAlignment="1" applyProtection="1">
      <alignment horizontal="center" vertical="center" wrapText="1"/>
      <protection locked="0"/>
    </xf>
    <xf numFmtId="167" fontId="20" fillId="5" borderId="22" xfId="6" applyNumberFormat="1" applyFont="1" applyFill="1" applyBorder="1" applyAlignment="1" applyProtection="1">
      <alignment horizontal="center" vertical="center" wrapText="1"/>
    </xf>
    <xf numFmtId="167" fontId="20" fillId="4" borderId="13" xfId="6" applyNumberFormat="1" applyFont="1" applyFill="1" applyBorder="1" applyAlignment="1" applyProtection="1">
      <alignment horizontal="right" wrapText="1" indent="1"/>
      <protection locked="0"/>
    </xf>
    <xf numFmtId="167" fontId="20" fillId="5" borderId="22" xfId="6" applyNumberFormat="1" applyFont="1" applyFill="1" applyBorder="1" applyAlignment="1" applyProtection="1">
      <alignment horizontal="center" vertical="center" wrapText="1"/>
      <protection locked="0"/>
    </xf>
    <xf numFmtId="167" fontId="20" fillId="5" borderId="13" xfId="6" applyNumberFormat="1" applyFont="1" applyFill="1" applyBorder="1" applyAlignment="1" applyProtection="1">
      <alignment horizontal="center" vertical="center" wrapText="1"/>
      <protection locked="0"/>
    </xf>
    <xf numFmtId="2" fontId="20" fillId="5" borderId="59" xfId="6" applyNumberFormat="1" applyFont="1" applyFill="1" applyBorder="1" applyAlignment="1" applyProtection="1">
      <alignment horizontal="center" vertical="center" wrapText="1"/>
      <protection locked="0"/>
    </xf>
    <xf numFmtId="167" fontId="20" fillId="4" borderId="80" xfId="6" applyNumberFormat="1" applyFont="1" applyFill="1" applyBorder="1" applyAlignment="1" applyProtection="1">
      <alignment horizontal="center" wrapText="1"/>
      <protection locked="0"/>
    </xf>
    <xf numFmtId="3" fontId="20" fillId="4" borderId="80" xfId="6" applyNumberFormat="1" applyFont="1" applyFill="1" applyBorder="1" applyAlignment="1" applyProtection="1">
      <alignment horizontal="center" vertical="center" wrapText="1"/>
    </xf>
    <xf numFmtId="169" fontId="20" fillId="4" borderId="13" xfId="6" applyNumberFormat="1" applyFont="1" applyFill="1" applyBorder="1" applyAlignment="1" applyProtection="1">
      <alignment horizontal="center" vertical="center" wrapText="1"/>
    </xf>
    <xf numFmtId="169" fontId="20" fillId="4" borderId="22" xfId="6" applyNumberFormat="1" applyFont="1" applyFill="1" applyBorder="1" applyAlignment="1" applyProtection="1">
      <alignment horizontal="center" vertical="center" wrapText="1"/>
    </xf>
    <xf numFmtId="169" fontId="20" fillId="4" borderId="19" xfId="6" applyNumberFormat="1" applyFont="1" applyFill="1" applyBorder="1" applyAlignment="1" applyProtection="1">
      <alignment horizontal="center" vertical="center" wrapText="1"/>
    </xf>
    <xf numFmtId="169" fontId="20" fillId="4" borderId="59" xfId="6" applyNumberFormat="1" applyFont="1" applyFill="1" applyBorder="1" applyAlignment="1" applyProtection="1">
      <alignment horizontal="center" vertical="center" wrapText="1"/>
    </xf>
    <xf numFmtId="169" fontId="20" fillId="4" borderId="80" xfId="6" applyNumberFormat="1" applyFont="1" applyFill="1" applyBorder="1" applyAlignment="1" applyProtection="1">
      <alignment horizontal="center" vertical="center" wrapText="1"/>
    </xf>
    <xf numFmtId="166" fontId="20" fillId="5" borderId="8" xfId="6" applyNumberFormat="1" applyFont="1" applyFill="1" applyBorder="1" applyAlignment="1" applyProtection="1">
      <alignment horizontal="center" vertical="center" wrapText="1"/>
    </xf>
    <xf numFmtId="166" fontId="20" fillId="5" borderId="28" xfId="6" applyNumberFormat="1" applyFont="1" applyFill="1" applyBorder="1" applyAlignment="1" applyProtection="1">
      <alignment horizontal="center" vertical="center" wrapText="1"/>
      <protection locked="0"/>
    </xf>
    <xf numFmtId="166" fontId="20" fillId="4" borderId="16" xfId="6" applyNumberFormat="1" applyFont="1" applyFill="1" applyBorder="1" applyAlignment="1" applyProtection="1">
      <alignment horizontal="right" wrapText="1" indent="1"/>
      <protection locked="0"/>
    </xf>
    <xf numFmtId="166" fontId="20" fillId="5" borderId="37" xfId="6" applyNumberFormat="1" applyFont="1" applyFill="1" applyBorder="1" applyAlignment="1" applyProtection="1">
      <alignment horizontal="center" vertical="center" wrapText="1"/>
      <protection locked="0"/>
    </xf>
    <xf numFmtId="166" fontId="20" fillId="5" borderId="20" xfId="6" applyNumberFormat="1" applyFont="1" applyFill="1" applyBorder="1" applyAlignment="1" applyProtection="1">
      <alignment horizontal="center" vertical="center" wrapText="1"/>
      <protection locked="0"/>
    </xf>
    <xf numFmtId="166" fontId="20" fillId="4" borderId="83" xfId="6" applyNumberFormat="1" applyFont="1" applyFill="1" applyBorder="1" applyAlignment="1" applyProtection="1">
      <alignment horizontal="right" wrapText="1" indent="1"/>
      <protection locked="0"/>
    </xf>
    <xf numFmtId="0" fontId="21" fillId="0" borderId="0" xfId="6" applyFont="1" applyFill="1" applyBorder="1" applyAlignment="1" applyProtection="1">
      <alignment vertical="center" wrapText="1"/>
    </xf>
    <xf numFmtId="0" fontId="21" fillId="0" borderId="0" xfId="6" applyFont="1" applyFill="1" applyBorder="1" applyAlignment="1" applyProtection="1">
      <alignment horizontal="center" vertical="center" wrapText="1"/>
    </xf>
    <xf numFmtId="166" fontId="20" fillId="8" borderId="0" xfId="6" applyNumberFormat="1" applyFont="1" applyFill="1" applyBorder="1" applyAlignment="1" applyProtection="1">
      <alignment horizontal="center" vertical="center" wrapText="1"/>
    </xf>
    <xf numFmtId="166" fontId="20" fillId="8" borderId="0" xfId="6" applyNumberFormat="1" applyFont="1" applyFill="1" applyBorder="1" applyAlignment="1" applyProtection="1">
      <alignment horizontal="center" vertical="center" wrapText="1"/>
      <protection locked="0"/>
    </xf>
    <xf numFmtId="166" fontId="20" fillId="8" borderId="0" xfId="6" applyNumberFormat="1" applyFont="1" applyFill="1" applyBorder="1" applyAlignment="1" applyProtection="1">
      <alignment horizontal="right" wrapText="1" indent="1"/>
      <protection locked="0"/>
    </xf>
    <xf numFmtId="0" fontId="49" fillId="0" borderId="0" xfId="6" applyFont="1" applyFill="1"/>
    <xf numFmtId="0" fontId="21" fillId="0" borderId="0" xfId="6" applyFont="1" applyAlignment="1" applyProtection="1">
      <alignment vertical="center" wrapText="1"/>
      <protection locked="0"/>
    </xf>
    <xf numFmtId="0" fontId="21" fillId="0" borderId="0" xfId="6" applyFont="1" applyProtection="1">
      <protection locked="0"/>
    </xf>
    <xf numFmtId="0" fontId="21" fillId="0" borderId="0" xfId="6" applyFont="1" applyAlignment="1" applyProtection="1">
      <alignment horizontal="center" vertical="center"/>
      <protection locked="0"/>
    </xf>
    <xf numFmtId="0" fontId="21" fillId="0" borderId="0" xfId="6" applyFont="1" applyAlignment="1" applyProtection="1">
      <alignment vertical="center"/>
      <protection locked="0"/>
    </xf>
    <xf numFmtId="0" fontId="55" fillId="0" borderId="0" xfId="6" applyFont="1" applyBorder="1" applyAlignment="1" applyProtection="1">
      <alignment horizontal="left" vertical="center" wrapText="1"/>
      <protection locked="0"/>
    </xf>
    <xf numFmtId="0" fontId="21" fillId="0" borderId="0" xfId="6" applyFont="1" applyBorder="1" applyAlignment="1" applyProtection="1">
      <alignment horizontal="center" vertical="justify"/>
      <protection locked="0"/>
    </xf>
    <xf numFmtId="0" fontId="55" fillId="0" borderId="0" xfId="6" applyFont="1" applyAlignment="1" applyProtection="1">
      <alignment horizontal="left" vertical="center" wrapText="1"/>
      <protection locked="0"/>
    </xf>
    <xf numFmtId="0" fontId="57" fillId="0" borderId="0" xfId="6" applyFont="1" applyAlignment="1" applyProtection="1">
      <protection locked="0"/>
    </xf>
    <xf numFmtId="0" fontId="49" fillId="0" borderId="0" xfId="6" applyFont="1" applyAlignment="1">
      <alignment wrapText="1"/>
    </xf>
    <xf numFmtId="166" fontId="49" fillId="8" borderId="0" xfId="6" applyNumberFormat="1" applyFont="1" applyFill="1"/>
    <xf numFmtId="167" fontId="49" fillId="8" borderId="0" xfId="6" applyNumberFormat="1" applyFont="1" applyFill="1"/>
    <xf numFmtId="2" fontId="49" fillId="8" borderId="0" xfId="6" applyNumberFormat="1" applyFont="1" applyFill="1"/>
    <xf numFmtId="0" fontId="49" fillId="8" borderId="0" xfId="6" applyFont="1" applyFill="1"/>
    <xf numFmtId="166" fontId="19" fillId="8" borderId="22" xfId="6" applyNumberFormat="1" applyFont="1" applyFill="1" applyBorder="1" applyAlignment="1">
      <alignment vertical="center"/>
    </xf>
    <xf numFmtId="166" fontId="19" fillId="8" borderId="19" xfId="6" applyNumberFormat="1" applyFont="1" applyFill="1" applyBorder="1" applyAlignment="1">
      <alignment vertical="center"/>
    </xf>
    <xf numFmtId="166" fontId="19" fillId="8" borderId="22" xfId="1" applyNumberFormat="1" applyFont="1" applyFill="1" applyBorder="1" applyAlignment="1">
      <alignment vertical="center"/>
    </xf>
    <xf numFmtId="166" fontId="19" fillId="8" borderId="35" xfId="6" applyNumberFormat="1" applyFont="1" applyFill="1" applyBorder="1" applyAlignment="1">
      <alignment vertical="center"/>
    </xf>
    <xf numFmtId="166" fontId="19" fillId="8" borderId="25" xfId="6" applyNumberFormat="1" applyFont="1" applyFill="1" applyBorder="1" applyAlignment="1">
      <alignment vertical="center"/>
    </xf>
    <xf numFmtId="166" fontId="19" fillId="0" borderId="21" xfId="6" applyNumberFormat="1" applyFont="1" applyFill="1" applyBorder="1" applyAlignment="1">
      <alignment vertical="center"/>
    </xf>
    <xf numFmtId="0" fontId="60" fillId="0" borderId="0" xfId="6" applyFont="1" applyAlignment="1" applyProtection="1">
      <alignment wrapText="1"/>
    </xf>
    <xf numFmtId="0" fontId="60" fillId="0" borderId="0" xfId="6" applyFont="1" applyAlignment="1" applyProtection="1">
      <alignment vertical="center"/>
    </xf>
    <xf numFmtId="172" fontId="59" fillId="0" borderId="0" xfId="6" applyNumberFormat="1" applyFont="1" applyProtection="1"/>
    <xf numFmtId="0" fontId="60" fillId="0" borderId="0" xfId="6" applyFont="1" applyFill="1" applyProtection="1"/>
    <xf numFmtId="0" fontId="60" fillId="0" borderId="0" xfId="6" applyFont="1" applyProtection="1"/>
    <xf numFmtId="0" fontId="61" fillId="0" borderId="0" xfId="0" applyFont="1"/>
    <xf numFmtId="0" fontId="61" fillId="0" borderId="0" xfId="0" applyFont="1" applyFill="1"/>
    <xf numFmtId="0" fontId="62" fillId="0" borderId="0" xfId="0" applyFont="1"/>
    <xf numFmtId="4" fontId="42" fillId="8" borderId="68" xfId="10" applyNumberFormat="1" applyFont="1" applyFill="1" applyBorder="1" applyAlignment="1" applyProtection="1">
      <alignment horizontal="center" vertical="center" wrapText="1"/>
      <protection locked="0"/>
    </xf>
    <xf numFmtId="4" fontId="42" fillId="8" borderId="85" xfId="10" applyNumberFormat="1" applyFont="1" applyFill="1" applyBorder="1" applyAlignment="1" applyProtection="1">
      <alignment horizontal="center" vertical="center" wrapText="1"/>
      <protection locked="0"/>
    </xf>
    <xf numFmtId="4" fontId="5" fillId="0" borderId="13" xfId="6" applyNumberFormat="1" applyFont="1" applyFill="1" applyBorder="1" applyAlignment="1">
      <alignment vertical="center"/>
    </xf>
    <xf numFmtId="4" fontId="5" fillId="8" borderId="13" xfId="6" applyNumberFormat="1" applyFont="1" applyFill="1" applyBorder="1" applyAlignment="1">
      <alignment vertical="center"/>
    </xf>
    <xf numFmtId="0" fontId="55" fillId="0" borderId="0" xfId="6" applyFont="1" applyBorder="1" applyAlignment="1" applyProtection="1">
      <alignment horizontal="left" vertical="center" wrapText="1"/>
      <protection locked="0"/>
    </xf>
    <xf numFmtId="0" fontId="21" fillId="0" borderId="48" xfId="6" applyFont="1" applyBorder="1" applyAlignment="1" applyProtection="1">
      <alignment horizontal="center"/>
      <protection locked="0"/>
    </xf>
    <xf numFmtId="0" fontId="21" fillId="0" borderId="49" xfId="6" applyFont="1" applyBorder="1" applyAlignment="1" applyProtection="1">
      <alignment horizontal="center" vertical="justify"/>
      <protection locked="0"/>
    </xf>
    <xf numFmtId="0" fontId="19" fillId="8" borderId="0" xfId="6" applyFont="1" applyFill="1" applyAlignment="1">
      <alignment horizontal="center"/>
    </xf>
    <xf numFmtId="0" fontId="19" fillId="8" borderId="50" xfId="6" applyFont="1" applyFill="1" applyBorder="1" applyAlignment="1">
      <alignment horizontal="center" vertical="center" wrapText="1"/>
    </xf>
    <xf numFmtId="0" fontId="19" fillId="0" borderId="6" xfId="6" applyFont="1" applyFill="1" applyBorder="1" applyAlignment="1" applyProtection="1">
      <alignment horizontal="center" vertical="center" wrapText="1"/>
    </xf>
    <xf numFmtId="0" fontId="19" fillId="0" borderId="1" xfId="6" applyFont="1" applyFill="1" applyBorder="1" applyAlignment="1" applyProtection="1">
      <alignment horizontal="center" vertical="center" wrapText="1"/>
    </xf>
    <xf numFmtId="0" fontId="19" fillId="0" borderId="7" xfId="6" applyFont="1" applyFill="1" applyBorder="1" applyAlignment="1" applyProtection="1">
      <alignment horizontal="center" vertical="center" wrapText="1"/>
    </xf>
    <xf numFmtId="0" fontId="19" fillId="0" borderId="9" xfId="6" applyFont="1" applyFill="1" applyBorder="1" applyAlignment="1" applyProtection="1">
      <alignment horizontal="center" vertical="center" wrapText="1"/>
    </xf>
    <xf numFmtId="0" fontId="19" fillId="0" borderId="59" xfId="6" applyFont="1" applyFill="1" applyBorder="1" applyAlignment="1" applyProtection="1">
      <alignment horizontal="center" vertical="center" wrapText="1"/>
    </xf>
    <xf numFmtId="0" fontId="19" fillId="0" borderId="71" xfId="6" applyFont="1" applyFill="1" applyBorder="1" applyAlignment="1" applyProtection="1">
      <alignment horizontal="center" vertical="center" wrapText="1"/>
    </xf>
    <xf numFmtId="0" fontId="19" fillId="0" borderId="60" xfId="6" applyFont="1" applyFill="1" applyBorder="1" applyAlignment="1" applyProtection="1">
      <alignment horizontal="center" vertical="center"/>
    </xf>
    <xf numFmtId="0" fontId="19" fillId="0" borderId="26" xfId="6" applyFont="1" applyFill="1" applyBorder="1" applyAlignment="1" applyProtection="1">
      <alignment horizontal="center" vertical="center"/>
    </xf>
    <xf numFmtId="0" fontId="19" fillId="0" borderId="27" xfId="6" applyFont="1" applyFill="1" applyBorder="1" applyAlignment="1" applyProtection="1">
      <alignment horizontal="center" vertical="center"/>
    </xf>
    <xf numFmtId="0" fontId="19" fillId="0" borderId="68" xfId="6" applyFont="1" applyFill="1" applyBorder="1" applyAlignment="1" applyProtection="1">
      <alignment horizontal="center" vertical="center" wrapText="1"/>
    </xf>
    <xf numFmtId="0" fontId="19" fillId="0" borderId="68" xfId="6" applyFont="1" applyFill="1" applyBorder="1" applyAlignment="1" applyProtection="1">
      <alignment horizontal="center" vertical="center"/>
    </xf>
    <xf numFmtId="0" fontId="19" fillId="8" borderId="68" xfId="6" applyFont="1" applyFill="1" applyBorder="1" applyAlignment="1" applyProtection="1">
      <alignment horizontal="center" vertical="center" wrapText="1"/>
    </xf>
    <xf numFmtId="0" fontId="55" fillId="0" borderId="0" xfId="6" applyFont="1" applyBorder="1" applyAlignment="1" applyProtection="1">
      <alignment horizontal="left"/>
      <protection locked="0"/>
    </xf>
    <xf numFmtId="0" fontId="49" fillId="0" borderId="0" xfId="0" applyFont="1" applyAlignment="1"/>
    <xf numFmtId="0" fontId="2" fillId="0" borderId="0" xfId="6" applyFont="1" applyBorder="1" applyAlignment="1" applyProtection="1">
      <alignment horizontal="left"/>
      <protection locked="0"/>
    </xf>
    <xf numFmtId="0" fontId="2" fillId="0" borderId="0" xfId="6" applyFont="1" applyBorder="1" applyAlignment="1" applyProtection="1">
      <alignment horizontal="left" vertical="center" wrapText="1"/>
      <protection locked="0"/>
    </xf>
    <xf numFmtId="0" fontId="4" fillId="0" borderId="48" xfId="6" applyFont="1" applyBorder="1" applyAlignment="1" applyProtection="1">
      <alignment horizontal="center"/>
      <protection locked="0"/>
    </xf>
    <xf numFmtId="0" fontId="5" fillId="0" borderId="60" xfId="6" applyFont="1" applyFill="1" applyBorder="1" applyAlignment="1" applyProtection="1">
      <alignment horizontal="left" vertical="center" wrapText="1"/>
    </xf>
    <xf numFmtId="0" fontId="5" fillId="0" borderId="61" xfId="6" applyFont="1" applyFill="1" applyBorder="1" applyAlignment="1" applyProtection="1">
      <alignment horizontal="left" vertical="center" wrapText="1"/>
    </xf>
    <xf numFmtId="0" fontId="5" fillId="0" borderId="54" xfId="6" applyFont="1" applyFill="1" applyBorder="1" applyAlignment="1" applyProtection="1">
      <alignment horizontal="right" vertical="center" wrapText="1"/>
    </xf>
    <xf numFmtId="0" fontId="5" fillId="0" borderId="41" xfId="6" applyFont="1" applyFill="1" applyBorder="1" applyAlignment="1" applyProtection="1">
      <alignment horizontal="right" vertical="center" wrapText="1"/>
    </xf>
    <xf numFmtId="0" fontId="5" fillId="0" borderId="54" xfId="6" applyFont="1" applyFill="1" applyBorder="1" applyAlignment="1" applyProtection="1">
      <alignment horizontal="center" vertical="center" wrapText="1"/>
    </xf>
    <xf numFmtId="0" fontId="5" fillId="0" borderId="55" xfId="6" applyFont="1" applyFill="1" applyBorder="1" applyAlignment="1" applyProtection="1">
      <alignment horizontal="center" vertical="center" wrapText="1"/>
    </xf>
    <xf numFmtId="0" fontId="5" fillId="0" borderId="41" xfId="6" applyFont="1" applyFill="1" applyBorder="1" applyAlignment="1" applyProtection="1">
      <alignment horizontal="center" vertical="center" wrapText="1"/>
    </xf>
    <xf numFmtId="0" fontId="5" fillId="0" borderId="51" xfId="6" applyFont="1" applyFill="1" applyBorder="1" applyAlignment="1" applyProtection="1">
      <alignment horizontal="right" vertical="center" wrapText="1"/>
    </xf>
    <xf numFmtId="0" fontId="5" fillId="0" borderId="40" xfId="6" applyFont="1" applyFill="1" applyBorder="1" applyAlignment="1" applyProtection="1">
      <alignment horizontal="right" vertical="center" wrapText="1"/>
    </xf>
    <xf numFmtId="0" fontId="2" fillId="0" borderId="0" xfId="6" applyFont="1" applyBorder="1" applyAlignment="1" applyProtection="1">
      <alignment horizontal="left" wrapText="1"/>
      <protection locked="0"/>
    </xf>
    <xf numFmtId="0" fontId="0" fillId="0" borderId="0" xfId="0" applyAlignment="1">
      <alignment wrapText="1"/>
    </xf>
    <xf numFmtId="0" fontId="4" fillId="0" borderId="22" xfId="6" applyFont="1" applyFill="1" applyBorder="1" applyAlignment="1" applyProtection="1">
      <alignment horizontal="left"/>
    </xf>
    <xf numFmtId="0" fontId="4" fillId="0" borderId="56" xfId="6" applyFont="1" applyFill="1" applyBorder="1" applyAlignment="1" applyProtection="1">
      <alignment horizontal="left"/>
    </xf>
    <xf numFmtId="0" fontId="4" fillId="0" borderId="24" xfId="6" applyFont="1" applyFill="1" applyBorder="1" applyAlignment="1" applyProtection="1">
      <alignment horizontal="left"/>
    </xf>
    <xf numFmtId="0" fontId="4" fillId="0" borderId="57" xfId="6" applyFont="1" applyFill="1" applyBorder="1" applyAlignment="1" applyProtection="1">
      <alignment horizontal="left"/>
    </xf>
    <xf numFmtId="0" fontId="4" fillId="0" borderId="22" xfId="6" applyFont="1" applyFill="1" applyBorder="1" applyAlignment="1" applyProtection="1">
      <alignment horizontal="right" vertical="center" wrapText="1"/>
    </xf>
    <xf numFmtId="0" fontId="4" fillId="0" borderId="13" xfId="6" applyFont="1" applyFill="1" applyBorder="1" applyAlignment="1" applyProtection="1">
      <alignment horizontal="right" vertical="center" wrapText="1"/>
    </xf>
    <xf numFmtId="0" fontId="4" fillId="0" borderId="58" xfId="6" applyFont="1" applyFill="1" applyBorder="1" applyAlignment="1" applyProtection="1">
      <alignment horizontal="center" vertical="center" textRotation="90" wrapText="1"/>
    </xf>
    <xf numFmtId="0" fontId="4" fillId="0" borderId="59" xfId="6" applyFont="1" applyFill="1" applyBorder="1" applyAlignment="1" applyProtection="1">
      <alignment horizontal="center" vertical="center" textRotation="90" wrapText="1"/>
    </xf>
    <xf numFmtId="0" fontId="4" fillId="0" borderId="49" xfId="6" applyFont="1" applyBorder="1" applyAlignment="1" applyProtection="1">
      <alignment horizontal="center" vertical="justify"/>
      <protection locked="0"/>
    </xf>
    <xf numFmtId="0" fontId="4" fillId="0" borderId="51" xfId="6" applyFont="1" applyFill="1" applyBorder="1" applyAlignment="1" applyProtection="1">
      <alignment horizontal="center" vertical="center" textRotation="90" wrapText="1"/>
    </xf>
    <xf numFmtId="0" fontId="4" fillId="0" borderId="52" xfId="6" applyFont="1" applyFill="1" applyBorder="1" applyAlignment="1" applyProtection="1">
      <alignment horizontal="center" vertical="center" textRotation="90" wrapText="1"/>
    </xf>
    <xf numFmtId="0" fontId="4" fillId="0" borderId="22" xfId="6" applyFont="1" applyFill="1" applyBorder="1" applyAlignment="1" applyProtection="1">
      <alignment horizontal="center" vertical="center" textRotation="90" wrapText="1"/>
    </xf>
    <xf numFmtId="0" fontId="4" fillId="0" borderId="53" xfId="6" applyFont="1" applyFill="1" applyBorder="1" applyAlignment="1" applyProtection="1">
      <alignment horizontal="center" vertical="center" textRotation="90" wrapText="1"/>
    </xf>
    <xf numFmtId="0" fontId="4" fillId="0" borderId="0" xfId="6" applyFont="1" applyAlignment="1" applyProtection="1">
      <alignment horizontal="center"/>
    </xf>
    <xf numFmtId="0" fontId="5" fillId="0" borderId="50" xfId="6" applyFont="1" applyBorder="1" applyAlignment="1" applyProtection="1">
      <alignment horizontal="center"/>
    </xf>
    <xf numFmtId="0" fontId="4" fillId="0" borderId="25" xfId="6" applyFont="1" applyFill="1" applyBorder="1" applyAlignment="1" applyProtection="1">
      <alignment horizontal="left"/>
    </xf>
    <xf numFmtId="0" fontId="4" fillId="0" borderId="62" xfId="6" applyFont="1" applyFill="1" applyBorder="1" applyAlignment="1" applyProtection="1">
      <alignment horizontal="left"/>
    </xf>
    <xf numFmtId="0" fontId="4" fillId="0" borderId="60" xfId="6" applyFont="1" applyFill="1" applyBorder="1" applyAlignment="1" applyProtection="1">
      <alignment horizontal="left" vertical="center" textRotation="90" wrapText="1"/>
    </xf>
    <xf numFmtId="0" fontId="4" fillId="0" borderId="67" xfId="6" applyFont="1" applyFill="1" applyBorder="1" applyAlignment="1" applyProtection="1">
      <alignment horizontal="left" vertical="center" textRotation="90" wrapText="1"/>
    </xf>
    <xf numFmtId="0" fontId="4" fillId="0" borderId="37" xfId="6" applyFont="1" applyFill="1" applyBorder="1" applyAlignment="1" applyProtection="1">
      <alignment horizontal="left" vertical="center" textRotation="90" wrapText="1"/>
    </xf>
    <xf numFmtId="0" fontId="4" fillId="0" borderId="24" xfId="6" applyFont="1" applyFill="1" applyBorder="1" applyAlignment="1" applyProtection="1">
      <alignment horizontal="center" vertical="center" textRotation="90" wrapText="1"/>
    </xf>
    <xf numFmtId="0" fontId="4" fillId="0" borderId="25" xfId="6" applyFont="1" applyFill="1" applyBorder="1" applyAlignment="1" applyProtection="1">
      <alignment horizontal="center" vertical="center" textRotation="90" wrapText="1"/>
    </xf>
    <xf numFmtId="0" fontId="4" fillId="0" borderId="38" xfId="6" applyFont="1" applyFill="1" applyBorder="1" applyAlignment="1" applyProtection="1">
      <alignment horizontal="center" vertical="center"/>
    </xf>
    <xf numFmtId="0" fontId="4" fillId="0" borderId="11" xfId="6" applyFont="1" applyFill="1" applyBorder="1" applyAlignment="1" applyProtection="1">
      <alignment horizontal="center" vertical="center"/>
    </xf>
    <xf numFmtId="0" fontId="4" fillId="0" borderId="25" xfId="6" applyFont="1" applyFill="1" applyBorder="1" applyAlignment="1" applyProtection="1">
      <alignment horizontal="right" vertical="center" wrapText="1"/>
    </xf>
    <xf numFmtId="0" fontId="4" fillId="0" borderId="16" xfId="6" applyFont="1" applyFill="1" applyBorder="1" applyAlignment="1" applyProtection="1">
      <alignment horizontal="right" vertical="center" wrapText="1"/>
    </xf>
    <xf numFmtId="0" fontId="5" fillId="0" borderId="0" xfId="1" applyFont="1" applyAlignment="1">
      <alignment horizontal="center"/>
    </xf>
    <xf numFmtId="0" fontId="5" fillId="0" borderId="0" xfId="1" applyFont="1" applyAlignment="1">
      <alignment horizontal="center" wrapText="1"/>
    </xf>
    <xf numFmtId="0" fontId="4" fillId="0" borderId="0" xfId="1" applyFont="1" applyAlignment="1">
      <alignment horizontal="center"/>
    </xf>
    <xf numFmtId="0" fontId="5" fillId="8" borderId="76" xfId="1" applyFont="1" applyFill="1" applyBorder="1" applyAlignment="1">
      <alignment horizontal="center" vertical="center" wrapText="1"/>
    </xf>
    <xf numFmtId="0" fontId="5" fillId="8" borderId="77" xfId="1" applyFont="1" applyFill="1" applyBorder="1"/>
    <xf numFmtId="0" fontId="5" fillId="0" borderId="78" xfId="1" applyFont="1" applyFill="1" applyBorder="1" applyAlignment="1">
      <alignment horizontal="center" vertical="center" wrapText="1"/>
    </xf>
    <xf numFmtId="0" fontId="5" fillId="0" borderId="79" xfId="1" applyFont="1" applyFill="1" applyBorder="1" applyAlignment="1">
      <alignment horizontal="center" vertical="center" wrapText="1"/>
    </xf>
    <xf numFmtId="0" fontId="5" fillId="0" borderId="51" xfId="1" applyFont="1" applyFill="1" applyBorder="1" applyAlignment="1">
      <alignment horizontal="center" vertical="center" wrapText="1"/>
    </xf>
    <xf numFmtId="0" fontId="4" fillId="0" borderId="53" xfId="1" applyFont="1" applyBorder="1" applyAlignment="1">
      <alignment wrapText="1"/>
    </xf>
    <xf numFmtId="0" fontId="5" fillId="0" borderId="74" xfId="6" applyFont="1" applyFill="1" applyBorder="1" applyAlignment="1" applyProtection="1">
      <alignment horizontal="center" vertical="center" wrapText="1"/>
    </xf>
    <xf numFmtId="0" fontId="5" fillId="0" borderId="75" xfId="6" applyFont="1" applyFill="1" applyBorder="1" applyAlignment="1" applyProtection="1">
      <alignment horizontal="center" vertical="center" wrapText="1"/>
    </xf>
    <xf numFmtId="0" fontId="19" fillId="0" borderId="69" xfId="1" applyFont="1" applyFill="1" applyBorder="1" applyAlignment="1">
      <alignment horizontal="center" vertical="center" wrapText="1"/>
    </xf>
    <xf numFmtId="0" fontId="21" fillId="0" borderId="70" xfId="1" applyFont="1" applyBorder="1"/>
    <xf numFmtId="0" fontId="4" fillId="0" borderId="0" xfId="6" applyFont="1" applyBorder="1" applyAlignment="1">
      <alignment horizontal="right"/>
    </xf>
    <xf numFmtId="0" fontId="4" fillId="0" borderId="63" xfId="6" applyFont="1" applyBorder="1" applyAlignment="1">
      <alignment horizontal="right"/>
    </xf>
    <xf numFmtId="0" fontId="5" fillId="0" borderId="19" xfId="6" applyFont="1" applyFill="1" applyBorder="1" applyAlignment="1">
      <alignment horizontal="center" vertical="center" wrapText="1"/>
    </xf>
    <xf numFmtId="0" fontId="5" fillId="0" borderId="19" xfId="6" applyFont="1" applyBorder="1" applyAlignment="1">
      <alignment horizontal="center" vertical="center" wrapText="1"/>
    </xf>
    <xf numFmtId="4" fontId="29" fillId="0" borderId="0" xfId="0" applyNumberFormat="1" applyFont="1" applyFill="1" applyBorder="1" applyAlignment="1">
      <alignment horizontal="center" wrapText="1"/>
    </xf>
    <xf numFmtId="0" fontId="29" fillId="0" borderId="0" xfId="0" applyFont="1" applyAlignment="1">
      <alignment wrapText="1"/>
    </xf>
    <xf numFmtId="0" fontId="4" fillId="0" borderId="0" xfId="6" applyFont="1" applyAlignment="1">
      <alignment horizontal="center"/>
    </xf>
    <xf numFmtId="0" fontId="5" fillId="0" borderId="0" xfId="6" applyFont="1" applyAlignment="1">
      <alignment horizontal="center"/>
    </xf>
    <xf numFmtId="0" fontId="5" fillId="0" borderId="0" xfId="6" applyFont="1" applyAlignment="1">
      <alignment horizontal="left"/>
    </xf>
    <xf numFmtId="0" fontId="5" fillId="0" borderId="56" xfId="6" applyFont="1" applyBorder="1" applyAlignment="1">
      <alignment horizontal="center"/>
    </xf>
    <xf numFmtId="0" fontId="5" fillId="0" borderId="64" xfId="6" applyFont="1" applyBorder="1" applyAlignment="1">
      <alignment horizontal="center"/>
    </xf>
    <xf numFmtId="0" fontId="5" fillId="0" borderId="42" xfId="6" applyFont="1" applyBorder="1" applyAlignment="1">
      <alignment horizontal="center"/>
    </xf>
    <xf numFmtId="0" fontId="5" fillId="0" borderId="19" xfId="6" applyFont="1" applyBorder="1" applyAlignment="1">
      <alignment horizontal="center"/>
    </xf>
    <xf numFmtId="49" fontId="5" fillId="0" borderId="19" xfId="6" applyNumberFormat="1" applyFont="1" applyBorder="1" applyAlignment="1">
      <alignment horizontal="right"/>
    </xf>
    <xf numFmtId="49" fontId="5" fillId="0" borderId="56" xfId="6" applyNumberFormat="1" applyFont="1" applyBorder="1" applyAlignment="1">
      <alignment horizontal="right"/>
    </xf>
    <xf numFmtId="49" fontId="5" fillId="0" borderId="42" xfId="6" applyNumberFormat="1" applyFont="1" applyBorder="1" applyAlignment="1">
      <alignment horizontal="right"/>
    </xf>
    <xf numFmtId="0" fontId="0" fillId="0" borderId="0" xfId="0" applyAlignment="1"/>
    <xf numFmtId="0" fontId="5" fillId="0" borderId="56" xfId="1" applyFont="1" applyBorder="1" applyAlignment="1">
      <alignment horizontal="center"/>
    </xf>
    <xf numFmtId="0" fontId="5" fillId="0" borderId="64" xfId="1" applyFont="1" applyBorder="1" applyAlignment="1">
      <alignment horizontal="center"/>
    </xf>
    <xf numFmtId="0" fontId="5" fillId="0" borderId="42" xfId="1" applyFont="1" applyBorder="1" applyAlignment="1">
      <alignment horizontal="center"/>
    </xf>
    <xf numFmtId="49" fontId="5" fillId="0" borderId="19" xfId="1" applyNumberFormat="1" applyFont="1" applyBorder="1" applyAlignment="1">
      <alignment horizontal="right"/>
    </xf>
    <xf numFmtId="0" fontId="5" fillId="0" borderId="19" xfId="1" applyFont="1" applyBorder="1" applyAlignment="1">
      <alignment horizontal="center" vertical="center"/>
    </xf>
    <xf numFmtId="0" fontId="5" fillId="0" borderId="19" xfId="1" applyFont="1" applyBorder="1" applyAlignment="1">
      <alignment horizontal="center" vertical="center" wrapText="1"/>
    </xf>
    <xf numFmtId="0" fontId="5" fillId="0" borderId="0" xfId="1" applyFont="1" applyAlignment="1">
      <alignment horizontal="left"/>
    </xf>
    <xf numFmtId="0" fontId="5" fillId="0" borderId="19" xfId="1" applyFont="1" applyFill="1" applyBorder="1" applyAlignment="1">
      <alignment horizontal="center" vertical="center" wrapText="1"/>
    </xf>
    <xf numFmtId="0" fontId="4" fillId="0" borderId="0" xfId="1" applyFont="1" applyBorder="1" applyAlignment="1">
      <alignment horizontal="right"/>
    </xf>
    <xf numFmtId="0" fontId="38" fillId="0" borderId="0" xfId="0" applyFont="1" applyAlignment="1"/>
    <xf numFmtId="0" fontId="38" fillId="0" borderId="0" xfId="0" applyFont="1" applyAlignment="1">
      <alignment horizontal="center"/>
    </xf>
    <xf numFmtId="0" fontId="0" fillId="0" borderId="0" xfId="0" applyAlignment="1">
      <alignment horizontal="center"/>
    </xf>
    <xf numFmtId="0" fontId="37" fillId="0" borderId="0" xfId="0" applyFont="1" applyAlignment="1">
      <alignment horizontal="center" vertical="center"/>
    </xf>
    <xf numFmtId="0" fontId="0" fillId="0" borderId="0" xfId="0" applyAlignment="1">
      <alignment horizontal="center" vertical="center"/>
    </xf>
    <xf numFmtId="0" fontId="50" fillId="0" borderId="0" xfId="0" applyFont="1" applyAlignment="1">
      <alignment horizontal="center" wrapText="1"/>
    </xf>
    <xf numFmtId="0" fontId="38" fillId="0" borderId="0" xfId="0" applyFont="1" applyAlignment="1">
      <alignment vertical="center"/>
    </xf>
    <xf numFmtId="0" fontId="0" fillId="0" borderId="0" xfId="0" applyAlignment="1">
      <alignment vertical="center"/>
    </xf>
    <xf numFmtId="0" fontId="2" fillId="0" borderId="0" xfId="0" applyFont="1" applyFill="1" applyBorder="1" applyAlignment="1" applyProtection="1">
      <alignment horizontal="center" vertical="justify" wrapText="1"/>
      <protection locked="0"/>
    </xf>
    <xf numFmtId="166" fontId="18" fillId="0" borderId="0" xfId="6" applyNumberFormat="1" applyFont="1"/>
  </cellXfs>
  <cellStyles count="12">
    <cellStyle name="Iau?iue" xfId="1"/>
    <cellStyle name="Iau?iue 2" xfId="6"/>
    <cellStyle name="Iau?iue 2 2" xfId="11"/>
    <cellStyle name="Гарний 2" xfId="2"/>
    <cellStyle name="Денежный" xfId="8" builtinId="4"/>
    <cellStyle name="Звичайний 2" xfId="3"/>
    <cellStyle name="Нейтральний 2" xfId="4"/>
    <cellStyle name="Обычный" xfId="0" builtinId="0"/>
    <cellStyle name="Обычный 2" xfId="7"/>
    <cellStyle name="Обычный 2 2" xfId="10"/>
    <cellStyle name="Процентный" xfId="5" builtinId="5"/>
    <cellStyle name="Финансовый" xfId="9"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
    <tabColor theme="5" tint="0.59999389629810485"/>
  </sheetPr>
  <dimension ref="A1:Q164"/>
  <sheetViews>
    <sheetView tabSelected="1" workbookViewId="0">
      <pane xSplit="2" ySplit="7" topLeftCell="C26" activePane="bottomRight" state="frozen"/>
      <selection pane="topRight" activeCell="C1" sqref="C1"/>
      <selection pane="bottomLeft" activeCell="A8" sqref="A8"/>
      <selection pane="bottomRight" activeCell="M33" sqref="M33:Q33"/>
    </sheetView>
  </sheetViews>
  <sheetFormatPr defaultRowHeight="12.75" x14ac:dyDescent="0.2"/>
  <cols>
    <col min="1" max="1" width="48.7109375" style="470" customWidth="1"/>
    <col min="2" max="2" width="9" style="470" customWidth="1"/>
    <col min="3" max="3" width="15.85546875" style="423" customWidth="1"/>
    <col min="4" max="4" width="15.140625" style="423" customWidth="1"/>
    <col min="5" max="5" width="14" style="423" customWidth="1"/>
    <col min="6" max="6" width="14.5703125" style="423" customWidth="1"/>
    <col min="7" max="7" width="13.42578125" style="423" customWidth="1"/>
    <col min="8" max="8" width="14.5703125" style="423" customWidth="1"/>
    <col min="9" max="9" width="13.42578125" style="423" customWidth="1"/>
    <col min="10" max="10" width="16.140625" style="423" customWidth="1"/>
    <col min="11" max="11" width="13.5703125" style="423" customWidth="1"/>
    <col min="12" max="12" width="9.140625" style="423"/>
    <col min="13" max="13" width="13.7109375" style="423" customWidth="1"/>
    <col min="14" max="14" width="12.28515625" style="423" customWidth="1"/>
    <col min="15" max="15" width="13.7109375" style="423" customWidth="1"/>
    <col min="16" max="16" width="15.85546875" style="423" customWidth="1"/>
    <col min="17" max="17" width="13.7109375" style="423" customWidth="1"/>
    <col min="18" max="16384" width="9.140625" style="423"/>
  </cols>
  <sheetData>
    <row r="1" spans="1:16" x14ac:dyDescent="0.2">
      <c r="D1" s="179">
        <f>D8/(D8+H8)</f>
        <v>0.99308890636678882</v>
      </c>
      <c r="E1" s="179">
        <f>E8/(E8+I8)</f>
        <v>0.99277721283454401</v>
      </c>
      <c r="F1" s="179">
        <f>F8/(F8+J8)</f>
        <v>0.99206325319648292</v>
      </c>
      <c r="G1" s="179">
        <f>G8/(G8+K8)</f>
        <v>0.99427166753761276</v>
      </c>
      <c r="K1" s="438" t="s">
        <v>300</v>
      </c>
    </row>
    <row r="2" spans="1:16" x14ac:dyDescent="0.2">
      <c r="A2" s="774" t="s">
        <v>298</v>
      </c>
      <c r="B2" s="774"/>
      <c r="C2" s="774"/>
      <c r="D2" s="774"/>
      <c r="E2" s="774"/>
      <c r="F2" s="774"/>
      <c r="G2" s="774"/>
      <c r="H2" s="774"/>
      <c r="I2" s="774"/>
      <c r="J2" s="774"/>
      <c r="K2" s="774"/>
    </row>
    <row r="3" spans="1:16" ht="17.25" customHeight="1" thickBot="1" x14ac:dyDescent="0.25">
      <c r="A3" s="775" t="s">
        <v>364</v>
      </c>
      <c r="B3" s="775"/>
      <c r="C3" s="775"/>
      <c r="D3" s="775"/>
      <c r="E3" s="775"/>
      <c r="F3" s="775"/>
      <c r="G3" s="775"/>
      <c r="H3" s="775"/>
      <c r="I3" s="775"/>
      <c r="J3" s="775"/>
      <c r="K3" s="775"/>
    </row>
    <row r="4" spans="1:16" ht="15" customHeight="1" x14ac:dyDescent="0.2">
      <c r="A4" s="776" t="s">
        <v>28</v>
      </c>
      <c r="B4" s="776" t="s">
        <v>94</v>
      </c>
      <c r="C4" s="779" t="s">
        <v>95</v>
      </c>
      <c r="D4" s="782" t="s">
        <v>29</v>
      </c>
      <c r="E4" s="783"/>
      <c r="F4" s="783"/>
      <c r="G4" s="784"/>
      <c r="H4" s="782" t="s">
        <v>30</v>
      </c>
      <c r="I4" s="783"/>
      <c r="J4" s="783"/>
      <c r="K4" s="784"/>
    </row>
    <row r="5" spans="1:16" ht="20.25" customHeight="1" x14ac:dyDescent="0.2">
      <c r="A5" s="777"/>
      <c r="B5" s="777"/>
      <c r="C5" s="780"/>
      <c r="D5" s="785" t="s">
        <v>369</v>
      </c>
      <c r="E5" s="786" t="s">
        <v>60</v>
      </c>
      <c r="F5" s="786"/>
      <c r="G5" s="787" t="s">
        <v>61</v>
      </c>
      <c r="H5" s="785" t="s">
        <v>369</v>
      </c>
      <c r="I5" s="786" t="s">
        <v>60</v>
      </c>
      <c r="J5" s="786"/>
      <c r="K5" s="787" t="s">
        <v>61</v>
      </c>
    </row>
    <row r="6" spans="1:16" ht="39" thickBot="1" x14ac:dyDescent="0.25">
      <c r="A6" s="778"/>
      <c r="B6" s="778"/>
      <c r="C6" s="781"/>
      <c r="D6" s="785"/>
      <c r="E6" s="471" t="s">
        <v>344</v>
      </c>
      <c r="F6" s="220" t="s">
        <v>60</v>
      </c>
      <c r="G6" s="787"/>
      <c r="H6" s="785"/>
      <c r="I6" s="471" t="s">
        <v>344</v>
      </c>
      <c r="J6" s="220" t="s">
        <v>60</v>
      </c>
      <c r="K6" s="787"/>
    </row>
    <row r="7" spans="1:16" ht="13.5" thickBot="1" x14ac:dyDescent="0.25">
      <c r="A7" s="472" t="s">
        <v>281</v>
      </c>
      <c r="B7" s="473" t="s">
        <v>282</v>
      </c>
      <c r="C7" s="474" t="s">
        <v>35</v>
      </c>
      <c r="D7" s="475" t="s">
        <v>35</v>
      </c>
      <c r="E7" s="476" t="s">
        <v>35</v>
      </c>
      <c r="F7" s="476" t="s">
        <v>35</v>
      </c>
      <c r="G7" s="477">
        <f>IF(C67=0,0,G67/C67)</f>
        <v>0.99447791194415314</v>
      </c>
      <c r="H7" s="478" t="s">
        <v>35</v>
      </c>
      <c r="I7" s="479" t="s">
        <v>35</v>
      </c>
      <c r="J7" s="479" t="s">
        <v>35</v>
      </c>
      <c r="K7" s="480">
        <f>IF(C67=0,0,K67/C67)</f>
        <v>5.5220880558468277E-3</v>
      </c>
    </row>
    <row r="8" spans="1:16" ht="15.75" customHeight="1" x14ac:dyDescent="0.2">
      <c r="A8" s="481" t="s">
        <v>0</v>
      </c>
      <c r="B8" s="482" t="s">
        <v>77</v>
      </c>
      <c r="C8" s="483">
        <f>SUM(C9:C16)</f>
        <v>5832616.3086970067</v>
      </c>
      <c r="D8" s="484">
        <f t="shared" ref="D8:K8" si="0">SUM(D9:D16)</f>
        <v>6102435</v>
      </c>
      <c r="E8" s="485">
        <f t="shared" si="0"/>
        <v>4726270.0999999996</v>
      </c>
      <c r="F8" s="484">
        <f t="shared" ref="F8" si="1">SUM(F9:F16)</f>
        <v>4779480</v>
      </c>
      <c r="G8" s="486">
        <f t="shared" si="0"/>
        <v>5799205.1433552485</v>
      </c>
      <c r="H8" s="487">
        <f t="shared" si="0"/>
        <v>42468</v>
      </c>
      <c r="I8" s="488">
        <f t="shared" si="0"/>
        <v>34385.200000000004</v>
      </c>
      <c r="J8" s="487">
        <f t="shared" ref="J8" si="2">SUM(J9:J16)</f>
        <v>38237</v>
      </c>
      <c r="K8" s="488">
        <f t="shared" si="0"/>
        <v>33411.165341758235</v>
      </c>
    </row>
    <row r="9" spans="1:16" x14ac:dyDescent="0.2">
      <c r="A9" s="489" t="s">
        <v>2</v>
      </c>
      <c r="B9" s="490" t="s">
        <v>77</v>
      </c>
      <c r="C9" s="491">
        <f>+ДОДАТОК_4!H7</f>
        <v>125267</v>
      </c>
      <c r="D9" s="492">
        <v>101986</v>
      </c>
      <c r="E9" s="493">
        <v>87008.5</v>
      </c>
      <c r="F9" s="492">
        <v>169833</v>
      </c>
      <c r="G9" s="494">
        <f>ROUND(C9*$G$7,1)</f>
        <v>124575.3</v>
      </c>
      <c r="H9" s="495">
        <v>971</v>
      </c>
      <c r="I9" s="496">
        <v>632.5</v>
      </c>
      <c r="J9" s="495">
        <v>1357</v>
      </c>
      <c r="K9" s="494">
        <f>ROUND(C9*$K$7,1)</f>
        <v>691.7</v>
      </c>
      <c r="M9" s="497"/>
      <c r="N9" s="497"/>
      <c r="O9" s="497"/>
      <c r="P9" s="497"/>
    </row>
    <row r="10" spans="1:16" x14ac:dyDescent="0.2">
      <c r="A10" s="489" t="s">
        <v>3</v>
      </c>
      <c r="B10" s="490" t="s">
        <v>77</v>
      </c>
      <c r="C10" s="491">
        <f>+ДОДАТОК_4!H18</f>
        <v>217364</v>
      </c>
      <c r="D10" s="492">
        <v>109373</v>
      </c>
      <c r="E10" s="493">
        <v>124631.4</v>
      </c>
      <c r="F10" s="492">
        <v>167955</v>
      </c>
      <c r="G10" s="494">
        <f>ROUND(C10*$G$7,1)</f>
        <v>216163.7</v>
      </c>
      <c r="H10" s="495">
        <v>967</v>
      </c>
      <c r="I10" s="496">
        <v>905.9</v>
      </c>
      <c r="J10" s="495">
        <v>1342</v>
      </c>
      <c r="K10" s="494">
        <f>ROUND(C10*$K$7,1)</f>
        <v>1200.3</v>
      </c>
      <c r="O10" s="497"/>
    </row>
    <row r="11" spans="1:16" x14ac:dyDescent="0.2">
      <c r="A11" s="489" t="s">
        <v>4</v>
      </c>
      <c r="B11" s="490" t="s">
        <v>77</v>
      </c>
      <c r="C11" s="498">
        <f>G11+K11</f>
        <v>4307101.3086970067</v>
      </c>
      <c r="D11" s="492">
        <v>5080242</v>
      </c>
      <c r="E11" s="493">
        <v>3729098.9</v>
      </c>
      <c r="F11" s="492">
        <v>3521643</v>
      </c>
      <c r="G11" s="499">
        <f>ДОДАТОК_3!D47</f>
        <v>4283291.7433552481</v>
      </c>
      <c r="H11" s="495">
        <v>34607</v>
      </c>
      <c r="I11" s="496">
        <v>27136.6</v>
      </c>
      <c r="J11" s="495">
        <v>28193</v>
      </c>
      <c r="K11" s="499">
        <f>ДОДАТОК_3!D91</f>
        <v>23809.565341758236</v>
      </c>
      <c r="O11" s="497"/>
    </row>
    <row r="12" spans="1:16" x14ac:dyDescent="0.2">
      <c r="A12" s="489" t="s">
        <v>62</v>
      </c>
      <c r="B12" s="490" t="s">
        <v>77</v>
      </c>
      <c r="C12" s="491">
        <f>+ДОДАТОК_4!H30</f>
        <v>5406</v>
      </c>
      <c r="D12" s="492">
        <v>5221</v>
      </c>
      <c r="E12" s="493">
        <v>5665.1</v>
      </c>
      <c r="F12" s="492">
        <v>4762</v>
      </c>
      <c r="G12" s="494">
        <f>ROUND(C12*$G$7,1)</f>
        <v>5376.1</v>
      </c>
      <c r="H12" s="495">
        <v>38</v>
      </c>
      <c r="I12" s="496">
        <v>41.2</v>
      </c>
      <c r="J12" s="495">
        <v>38</v>
      </c>
      <c r="K12" s="494">
        <f>ROUND(C12*$K$7,1)</f>
        <v>29.9</v>
      </c>
      <c r="O12" s="497"/>
    </row>
    <row r="13" spans="1:16" x14ac:dyDescent="0.2">
      <c r="A13" s="489" t="s">
        <v>5</v>
      </c>
      <c r="B13" s="490" t="s">
        <v>77</v>
      </c>
      <c r="C13" s="491">
        <f>+ДОДАТОК_4!H33</f>
        <v>496656</v>
      </c>
      <c r="D13" s="492">
        <v>326426</v>
      </c>
      <c r="E13" s="493">
        <v>296491.09999999998</v>
      </c>
      <c r="F13" s="492">
        <v>396238</v>
      </c>
      <c r="G13" s="494">
        <f>C13-K13</f>
        <v>492735.8</v>
      </c>
      <c r="H13" s="495">
        <v>2454</v>
      </c>
      <c r="I13" s="496">
        <v>2155.4</v>
      </c>
      <c r="J13" s="495">
        <v>3164</v>
      </c>
      <c r="K13" s="494">
        <v>3920.2</v>
      </c>
      <c r="O13" s="497"/>
    </row>
    <row r="14" spans="1:16" ht="25.5" customHeight="1" x14ac:dyDescent="0.2">
      <c r="A14" s="500" t="s">
        <v>6</v>
      </c>
      <c r="B14" s="490" t="s">
        <v>77</v>
      </c>
      <c r="C14" s="501">
        <f>ДОДАТОК_4!H34</f>
        <v>121624</v>
      </c>
      <c r="D14" s="502">
        <v>76930</v>
      </c>
      <c r="E14" s="503">
        <v>65228</v>
      </c>
      <c r="F14" s="502">
        <v>100394</v>
      </c>
      <c r="G14" s="494">
        <f>ROUND(C14*$G$7,1)</f>
        <v>120952.4</v>
      </c>
      <c r="H14" s="504">
        <v>617</v>
      </c>
      <c r="I14" s="505">
        <v>474.2</v>
      </c>
      <c r="J14" s="504">
        <v>801</v>
      </c>
      <c r="K14" s="494">
        <f>ROUND(C14*$K$7,1)</f>
        <v>671.6</v>
      </c>
      <c r="O14" s="497"/>
    </row>
    <row r="15" spans="1:16" x14ac:dyDescent="0.2">
      <c r="A15" s="489" t="s">
        <v>7</v>
      </c>
      <c r="B15" s="490" t="s">
        <v>77</v>
      </c>
      <c r="C15" s="491">
        <f>+ДОДАТОК_4!H37</f>
        <v>56337</v>
      </c>
      <c r="D15" s="492">
        <v>95573</v>
      </c>
      <c r="E15" s="493">
        <v>58775.8</v>
      </c>
      <c r="F15" s="492">
        <v>79227</v>
      </c>
      <c r="G15" s="494">
        <f>ROUND(C15*$G$7,1)</f>
        <v>56025.9</v>
      </c>
      <c r="H15" s="504">
        <v>713</v>
      </c>
      <c r="I15" s="505">
        <v>427.2</v>
      </c>
      <c r="J15" s="504">
        <v>633</v>
      </c>
      <c r="K15" s="494">
        <f>ROUND(C15*$K$7,1)</f>
        <v>311.10000000000002</v>
      </c>
      <c r="O15" s="497"/>
    </row>
    <row r="16" spans="1:16" x14ac:dyDescent="0.2">
      <c r="A16" s="489" t="s">
        <v>8</v>
      </c>
      <c r="B16" s="490" t="s">
        <v>77</v>
      </c>
      <c r="C16" s="491">
        <f>+ДОДАТОК_4!H38</f>
        <v>502861</v>
      </c>
      <c r="D16" s="492">
        <v>306684</v>
      </c>
      <c r="E16" s="493">
        <v>359371.3</v>
      </c>
      <c r="F16" s="492">
        <v>339428</v>
      </c>
      <c r="G16" s="494">
        <f>ROUND(C16*$G$7,1)</f>
        <v>500084.2</v>
      </c>
      <c r="H16" s="504">
        <v>2101</v>
      </c>
      <c r="I16" s="505">
        <v>2612.1999999999998</v>
      </c>
      <c r="J16" s="504">
        <v>2709</v>
      </c>
      <c r="K16" s="494">
        <f>ROUND(C16*$K$7,1)</f>
        <v>2776.8</v>
      </c>
      <c r="O16" s="497"/>
    </row>
    <row r="17" spans="1:15" ht="14.25" customHeight="1" x14ac:dyDescent="0.2">
      <c r="A17" s="506" t="s">
        <v>9</v>
      </c>
      <c r="B17" s="507" t="s">
        <v>77</v>
      </c>
      <c r="C17" s="508">
        <f>SUM(C18:C22)</f>
        <v>47056.99</v>
      </c>
      <c r="D17" s="509">
        <f t="shared" ref="D17:I17" si="3">SUM(D18:D22)</f>
        <v>41552</v>
      </c>
      <c r="E17" s="510">
        <f t="shared" si="3"/>
        <v>34605.800000000003</v>
      </c>
      <c r="F17" s="509">
        <f t="shared" ref="F17" si="4">SUM(F18:F22)</f>
        <v>50447.3</v>
      </c>
      <c r="G17" s="510">
        <f t="shared" si="3"/>
        <v>46698.490000000005</v>
      </c>
      <c r="H17" s="509">
        <f t="shared" si="3"/>
        <v>315</v>
      </c>
      <c r="I17" s="510">
        <f t="shared" si="3"/>
        <v>251.6</v>
      </c>
      <c r="J17" s="509">
        <f t="shared" ref="J17" si="5">SUM(J18:J22)</f>
        <v>403.7</v>
      </c>
      <c r="K17" s="511">
        <f>SUM(K18:K22)</f>
        <v>358.5</v>
      </c>
      <c r="O17" s="497"/>
    </row>
    <row r="18" spans="1:15" x14ac:dyDescent="0.2">
      <c r="A18" s="489" t="s">
        <v>10</v>
      </c>
      <c r="B18" s="490" t="s">
        <v>77</v>
      </c>
      <c r="C18" s="491">
        <f>+ДОДАТОК_4!H69</f>
        <v>5373</v>
      </c>
      <c r="D18" s="492">
        <v>3643</v>
      </c>
      <c r="E18" s="493">
        <v>3182.4</v>
      </c>
      <c r="F18" s="492">
        <v>4113</v>
      </c>
      <c r="G18" s="494">
        <f>ROUND(C18*$G$7,1)</f>
        <v>5343.3</v>
      </c>
      <c r="H18" s="504">
        <v>31</v>
      </c>
      <c r="I18" s="505">
        <v>23.1</v>
      </c>
      <c r="J18" s="504">
        <v>33</v>
      </c>
      <c r="K18" s="494">
        <f>ROUND(C18*$K$7,1)</f>
        <v>29.7</v>
      </c>
      <c r="O18" s="497"/>
    </row>
    <row r="19" spans="1:15" x14ac:dyDescent="0.2">
      <c r="A19" s="489" t="s">
        <v>5</v>
      </c>
      <c r="B19" s="490" t="s">
        <v>77</v>
      </c>
      <c r="C19" s="491">
        <f>+ДОДАТОК_4!H76</f>
        <v>30368</v>
      </c>
      <c r="D19" s="492">
        <v>28483</v>
      </c>
      <c r="E19" s="503">
        <v>18701.7</v>
      </c>
      <c r="F19" s="492">
        <v>35021.300000000003</v>
      </c>
      <c r="G19" s="494">
        <f>C19-K19</f>
        <v>30119.5</v>
      </c>
      <c r="H19" s="504">
        <v>214</v>
      </c>
      <c r="I19" s="505">
        <v>136</v>
      </c>
      <c r="J19" s="504">
        <v>279.7</v>
      </c>
      <c r="K19" s="494">
        <v>248.5</v>
      </c>
      <c r="O19" s="497"/>
    </row>
    <row r="20" spans="1:15" ht="25.5" x14ac:dyDescent="0.2">
      <c r="A20" s="489" t="s">
        <v>11</v>
      </c>
      <c r="B20" s="490" t="s">
        <v>77</v>
      </c>
      <c r="C20" s="501">
        <f>G20+K20</f>
        <v>6680.99</v>
      </c>
      <c r="D20" s="492">
        <v>5947</v>
      </c>
      <c r="E20" s="503">
        <v>4114.3999999999996</v>
      </c>
      <c r="F20" s="492">
        <v>7705</v>
      </c>
      <c r="G20" s="512">
        <f>G19*0.22</f>
        <v>6626.29</v>
      </c>
      <c r="H20" s="504">
        <v>44</v>
      </c>
      <c r="I20" s="505">
        <v>29.9</v>
      </c>
      <c r="J20" s="504">
        <v>62</v>
      </c>
      <c r="K20" s="512">
        <f>ROUND((K19*0.22),1)</f>
        <v>54.7</v>
      </c>
      <c r="M20" s="497"/>
      <c r="O20" s="497"/>
    </row>
    <row r="21" spans="1:15" x14ac:dyDescent="0.2">
      <c r="A21" s="489" t="s">
        <v>7</v>
      </c>
      <c r="B21" s="490" t="s">
        <v>77</v>
      </c>
      <c r="C21" s="491">
        <f>+ДОДАТОК_4!H79</f>
        <v>184</v>
      </c>
      <c r="D21" s="492">
        <v>808</v>
      </c>
      <c r="E21" s="493">
        <v>227.3</v>
      </c>
      <c r="F21" s="492">
        <v>507</v>
      </c>
      <c r="G21" s="494">
        <f>ROUND(C21*$G$7,1)</f>
        <v>183</v>
      </c>
      <c r="H21" s="504">
        <v>6</v>
      </c>
      <c r="I21" s="505">
        <v>1.7</v>
      </c>
      <c r="J21" s="504">
        <v>4</v>
      </c>
      <c r="K21" s="494">
        <f>ROUND(C21*$K$7,1)</f>
        <v>1</v>
      </c>
      <c r="O21" s="497"/>
    </row>
    <row r="22" spans="1:15" x14ac:dyDescent="0.2">
      <c r="A22" s="489" t="s">
        <v>12</v>
      </c>
      <c r="B22" s="490" t="s">
        <v>77</v>
      </c>
      <c r="C22" s="491">
        <f>+ДОДАТОК_4!H81</f>
        <v>4451</v>
      </c>
      <c r="D22" s="492">
        <v>2671</v>
      </c>
      <c r="E22" s="493">
        <v>8380</v>
      </c>
      <c r="F22" s="492">
        <v>3101</v>
      </c>
      <c r="G22" s="494">
        <f>ROUND((C22-ДОДАТОК_4!H82-ДОДАТОК_4!H83)*$G$7,1)+ДОДАТОК_4!H82</f>
        <v>4426.3999999999996</v>
      </c>
      <c r="H22" s="504">
        <v>20</v>
      </c>
      <c r="I22" s="505">
        <v>60.9</v>
      </c>
      <c r="J22" s="504">
        <v>25</v>
      </c>
      <c r="K22" s="494">
        <f>ROUND((C22-ДОДАТОК_4!H82-ДОДАТОК_4!H83)*$K$7,1)+ДОДАТОК_4!H83</f>
        <v>24.6</v>
      </c>
      <c r="O22" s="497"/>
    </row>
    <row r="23" spans="1:15" x14ac:dyDescent="0.2">
      <c r="A23" s="506" t="s">
        <v>433</v>
      </c>
      <c r="B23" s="490" t="s">
        <v>77</v>
      </c>
      <c r="C23" s="513">
        <f>SUM(C24:C28)</f>
        <v>4809</v>
      </c>
      <c r="D23" s="513">
        <f t="shared" ref="D23:H23" si="6">SUM(D24:D28)</f>
        <v>1745</v>
      </c>
      <c r="E23" s="513">
        <f t="shared" si="6"/>
        <v>0</v>
      </c>
      <c r="F23" s="513">
        <f t="shared" si="6"/>
        <v>4652</v>
      </c>
      <c r="G23" s="514">
        <f>SUM(G24:G28)</f>
        <v>4776.2</v>
      </c>
      <c r="H23" s="513">
        <f t="shared" si="6"/>
        <v>12</v>
      </c>
      <c r="I23" s="513">
        <f t="shared" ref="I23" si="7">SUM(I24:I28)</f>
        <v>0</v>
      </c>
      <c r="J23" s="513">
        <f t="shared" ref="J23" si="8">SUM(J24:J28)</f>
        <v>42</v>
      </c>
      <c r="K23" s="514">
        <f>SUM(K24:K28)</f>
        <v>32.800000000000004</v>
      </c>
      <c r="M23" s="497"/>
      <c r="O23" s="497"/>
    </row>
    <row r="24" spans="1:15" x14ac:dyDescent="0.2">
      <c r="A24" s="489" t="s">
        <v>10</v>
      </c>
      <c r="B24" s="490" t="s">
        <v>77</v>
      </c>
      <c r="C24" s="491">
        <f>ДОДАТОК_4!H96</f>
        <v>8</v>
      </c>
      <c r="D24" s="492">
        <v>3</v>
      </c>
      <c r="E24" s="493">
        <v>0</v>
      </c>
      <c r="F24" s="492">
        <v>6</v>
      </c>
      <c r="G24" s="494">
        <f>ROUND(C24*$G$7,1)</f>
        <v>8</v>
      </c>
      <c r="H24" s="504">
        <v>0</v>
      </c>
      <c r="I24" s="505">
        <v>0</v>
      </c>
      <c r="J24" s="504">
        <v>0</v>
      </c>
      <c r="K24" s="494">
        <f>ROUND(C24*$K$7,1)</f>
        <v>0</v>
      </c>
      <c r="M24" s="497"/>
      <c r="O24" s="497"/>
    </row>
    <row r="25" spans="1:15" x14ac:dyDescent="0.2">
      <c r="A25" s="489" t="s">
        <v>5</v>
      </c>
      <c r="B25" s="490" t="s">
        <v>77</v>
      </c>
      <c r="C25" s="491">
        <f>ДОДАТОК_4!H97</f>
        <v>3865</v>
      </c>
      <c r="D25" s="492">
        <v>1393</v>
      </c>
      <c r="E25" s="493">
        <v>0</v>
      </c>
      <c r="F25" s="492">
        <v>3731</v>
      </c>
      <c r="G25" s="494">
        <f>C25-K25</f>
        <v>3837.4</v>
      </c>
      <c r="H25" s="504">
        <v>10</v>
      </c>
      <c r="I25" s="505">
        <v>0</v>
      </c>
      <c r="J25" s="504">
        <v>35</v>
      </c>
      <c r="K25" s="494">
        <v>27.6</v>
      </c>
      <c r="M25" s="497"/>
      <c r="O25" s="497"/>
    </row>
    <row r="26" spans="1:15" ht="25.5" x14ac:dyDescent="0.2">
      <c r="A26" s="489" t="s">
        <v>11</v>
      </c>
      <c r="B26" s="490" t="s">
        <v>77</v>
      </c>
      <c r="C26" s="491">
        <f>ДОДАТОК_4!H99</f>
        <v>850</v>
      </c>
      <c r="D26" s="492">
        <v>307</v>
      </c>
      <c r="E26" s="493">
        <v>0</v>
      </c>
      <c r="F26" s="492">
        <v>822</v>
      </c>
      <c r="G26" s="494">
        <f t="shared" ref="G26:G28" si="9">ROUND(C26*$G$7,1)</f>
        <v>845.3</v>
      </c>
      <c r="H26" s="504">
        <v>2</v>
      </c>
      <c r="I26" s="505">
        <v>0</v>
      </c>
      <c r="J26" s="504">
        <v>7</v>
      </c>
      <c r="K26" s="494">
        <f t="shared" ref="K26:K28" si="10">ROUND(C26*$K$7,1)</f>
        <v>4.7</v>
      </c>
      <c r="M26" s="497"/>
      <c r="O26" s="497"/>
    </row>
    <row r="27" spans="1:15" x14ac:dyDescent="0.2">
      <c r="A27" s="489" t="s">
        <v>7</v>
      </c>
      <c r="B27" s="490" t="s">
        <v>77</v>
      </c>
      <c r="C27" s="491">
        <f>ДОДАТОК_4!H101</f>
        <v>40</v>
      </c>
      <c r="D27" s="492">
        <v>27</v>
      </c>
      <c r="E27" s="493">
        <v>0</v>
      </c>
      <c r="F27" s="492">
        <v>62</v>
      </c>
      <c r="G27" s="494">
        <f t="shared" si="9"/>
        <v>39.799999999999997</v>
      </c>
      <c r="H27" s="504">
        <v>0</v>
      </c>
      <c r="I27" s="505">
        <v>0</v>
      </c>
      <c r="J27" s="504">
        <v>0</v>
      </c>
      <c r="K27" s="494">
        <f t="shared" si="10"/>
        <v>0.2</v>
      </c>
      <c r="M27" s="497"/>
      <c r="O27" s="497"/>
    </row>
    <row r="28" spans="1:15" x14ac:dyDescent="0.2">
      <c r="A28" s="489" t="s">
        <v>12</v>
      </c>
      <c r="B28" s="490" t="s">
        <v>77</v>
      </c>
      <c r="C28" s="491">
        <f>ДОДАТОК_4!H103</f>
        <v>46</v>
      </c>
      <c r="D28" s="492">
        <v>15</v>
      </c>
      <c r="E28" s="493">
        <v>0</v>
      </c>
      <c r="F28" s="492">
        <v>31</v>
      </c>
      <c r="G28" s="494">
        <f t="shared" si="9"/>
        <v>45.7</v>
      </c>
      <c r="H28" s="504">
        <v>0</v>
      </c>
      <c r="I28" s="505">
        <v>0</v>
      </c>
      <c r="J28" s="504">
        <v>0</v>
      </c>
      <c r="K28" s="494">
        <f t="shared" si="10"/>
        <v>0.3</v>
      </c>
      <c r="M28" s="497"/>
      <c r="O28" s="497"/>
    </row>
    <row r="29" spans="1:15" x14ac:dyDescent="0.2">
      <c r="A29" s="506" t="s">
        <v>13</v>
      </c>
      <c r="B29" s="507" t="s">
        <v>77</v>
      </c>
      <c r="C29" s="508">
        <f>SUM(C30:C32)</f>
        <v>75676.5</v>
      </c>
      <c r="D29" s="509">
        <f t="shared" ref="D29:K29" si="11">SUM(D30:D32)</f>
        <v>43152</v>
      </c>
      <c r="E29" s="515">
        <f t="shared" si="11"/>
        <v>11878.2</v>
      </c>
      <c r="F29" s="509">
        <f t="shared" ref="F29" si="12">SUM(F30:F32)</f>
        <v>54747</v>
      </c>
      <c r="G29" s="510">
        <f t="shared" si="11"/>
        <v>75258.600000000006</v>
      </c>
      <c r="H29" s="509">
        <f t="shared" si="11"/>
        <v>0</v>
      </c>
      <c r="I29" s="510">
        <f t="shared" si="11"/>
        <v>86.4</v>
      </c>
      <c r="J29" s="509">
        <f t="shared" ref="J29" si="13">SUM(J30:J32)</f>
        <v>0</v>
      </c>
      <c r="K29" s="516">
        <f t="shared" si="11"/>
        <v>417.9</v>
      </c>
      <c r="O29" s="497"/>
    </row>
    <row r="30" spans="1:15" x14ac:dyDescent="0.2">
      <c r="A30" s="489" t="s">
        <v>15</v>
      </c>
      <c r="B30" s="490" t="s">
        <v>77</v>
      </c>
      <c r="C30" s="491">
        <f>ДОДАТОК_4!H105</f>
        <v>46848.5</v>
      </c>
      <c r="D30" s="492">
        <f>ДОДАТОК_4!C105</f>
        <v>24357</v>
      </c>
      <c r="E30" s="492">
        <v>8592.1</v>
      </c>
      <c r="F30" s="492">
        <f>ДОДАТОК_4!E105</f>
        <v>33682</v>
      </c>
      <c r="G30" s="494">
        <f>ROUND(C30*$G$7,1)</f>
        <v>46589.8</v>
      </c>
      <c r="H30" s="504"/>
      <c r="I30" s="505">
        <v>62.5</v>
      </c>
      <c r="J30" s="517"/>
      <c r="K30" s="518">
        <f>ROUND(C30*$K$7,1)</f>
        <v>258.7</v>
      </c>
      <c r="O30" s="497"/>
    </row>
    <row r="31" spans="1:15" x14ac:dyDescent="0.2">
      <c r="A31" s="489" t="s">
        <v>14</v>
      </c>
      <c r="B31" s="490" t="s">
        <v>77</v>
      </c>
      <c r="C31" s="491">
        <f>+ДОДАТОК_4!H110</f>
        <v>0</v>
      </c>
      <c r="D31" s="492">
        <f>ДОДАТОК_4!C110</f>
        <v>20</v>
      </c>
      <c r="E31" s="493"/>
      <c r="F31" s="492">
        <v>0</v>
      </c>
      <c r="G31" s="494">
        <f>ROUND(C31*$G$7,1)</f>
        <v>0</v>
      </c>
      <c r="H31" s="504"/>
      <c r="I31" s="505"/>
      <c r="J31" s="504"/>
      <c r="K31" s="518">
        <f>ROUND(C31*$K$7,1)</f>
        <v>0</v>
      </c>
      <c r="O31" s="497"/>
    </row>
    <row r="32" spans="1:15" ht="13.5" thickBot="1" x14ac:dyDescent="0.25">
      <c r="A32" s="519" t="s">
        <v>16</v>
      </c>
      <c r="B32" s="520" t="s">
        <v>77</v>
      </c>
      <c r="C32" s="491">
        <f>ДОДАТОК_4!H112</f>
        <v>28828</v>
      </c>
      <c r="D32" s="492">
        <f>ДОДАТОК_4!C112</f>
        <v>18775</v>
      </c>
      <c r="E32" s="493">
        <v>3286.1</v>
      </c>
      <c r="F32" s="492">
        <f>ДОДАТОК_4!E112</f>
        <v>21065</v>
      </c>
      <c r="G32" s="494">
        <f>ROUND(C32*$G$7,1)</f>
        <v>28668.799999999999</v>
      </c>
      <c r="H32" s="504"/>
      <c r="I32" s="505">
        <v>23.9</v>
      </c>
      <c r="J32" s="504"/>
      <c r="K32" s="518">
        <f>ROUND(C32*$K$7,1)</f>
        <v>159.19999999999999</v>
      </c>
      <c r="O32" s="497"/>
    </row>
    <row r="33" spans="1:17" ht="14.25" thickTop="1" thickBot="1" x14ac:dyDescent="0.25">
      <c r="A33" s="521" t="s">
        <v>32</v>
      </c>
      <c r="B33" s="522" t="s">
        <v>77</v>
      </c>
      <c r="C33" s="523">
        <f>C8+C17+C29+C34+C23</f>
        <v>5960158.7986970069</v>
      </c>
      <c r="D33" s="523">
        <f t="shared" ref="D33:K33" si="14">D8+D17+D29+D34+D23</f>
        <v>6188884</v>
      </c>
      <c r="E33" s="523">
        <f t="shared" si="14"/>
        <v>4772754.0999999996</v>
      </c>
      <c r="F33" s="523">
        <f t="shared" si="14"/>
        <v>4889326.3</v>
      </c>
      <c r="G33" s="523">
        <f t="shared" si="14"/>
        <v>5925938.4333552485</v>
      </c>
      <c r="H33" s="523">
        <f t="shared" si="14"/>
        <v>42795</v>
      </c>
      <c r="I33" s="523">
        <f t="shared" si="14"/>
        <v>34723.200000000004</v>
      </c>
      <c r="J33" s="523">
        <f t="shared" si="14"/>
        <v>38682.699999999997</v>
      </c>
      <c r="K33" s="523">
        <f t="shared" si="14"/>
        <v>34220.365341758239</v>
      </c>
      <c r="M33" s="878">
        <f>D33+H33</f>
        <v>6231679</v>
      </c>
      <c r="N33" s="878">
        <f t="shared" ref="N33:O33" si="15">E33+I33</f>
        <v>4807477.3</v>
      </c>
      <c r="O33" s="878">
        <f t="shared" si="15"/>
        <v>4928009</v>
      </c>
      <c r="P33" s="878">
        <f>G33+K33</f>
        <v>5960158.7986970069</v>
      </c>
      <c r="Q33" s="179"/>
    </row>
    <row r="34" spans="1:17" ht="13.5" thickTop="1" x14ac:dyDescent="0.2">
      <c r="A34" s="524" t="s">
        <v>31</v>
      </c>
      <c r="B34" s="525" t="s">
        <v>77</v>
      </c>
      <c r="C34" s="491">
        <v>0</v>
      </c>
      <c r="D34" s="492">
        <v>0</v>
      </c>
      <c r="E34" s="493">
        <v>0</v>
      </c>
      <c r="F34" s="492">
        <v>0</v>
      </c>
      <c r="G34" s="494">
        <f>ROUND(C34*$G$7,1)</f>
        <v>0</v>
      </c>
      <c r="H34" s="504"/>
      <c r="I34" s="505"/>
      <c r="J34" s="504"/>
      <c r="K34" s="494">
        <f>ROUND(C34*$K$7,1)</f>
        <v>0</v>
      </c>
    </row>
    <row r="35" spans="1:17" x14ac:dyDescent="0.2">
      <c r="A35" s="506" t="s">
        <v>33</v>
      </c>
      <c r="B35" s="507" t="s">
        <v>77</v>
      </c>
      <c r="C35" s="508">
        <f>C34+C36</f>
        <v>6538351.4073068351</v>
      </c>
      <c r="D35" s="509">
        <f>D34+D36</f>
        <v>231616</v>
      </c>
      <c r="E35" s="515">
        <f t="shared" ref="E35:K35" si="16">E34+E36</f>
        <v>4211727.1000000006</v>
      </c>
      <c r="F35" s="509">
        <f>F34+F36</f>
        <v>2750960</v>
      </c>
      <c r="G35" s="510">
        <f>G34+G36</f>
        <v>6537667</v>
      </c>
      <c r="H35" s="509">
        <f>H34+H36</f>
        <v>-18385</v>
      </c>
      <c r="I35" s="510">
        <f t="shared" si="16"/>
        <v>0</v>
      </c>
      <c r="J35" s="509">
        <f>J34+J36</f>
        <v>-13333.7</v>
      </c>
      <c r="K35" s="516">
        <f t="shared" si="16"/>
        <v>684.40730683516483</v>
      </c>
    </row>
    <row r="36" spans="1:17" x14ac:dyDescent="0.2">
      <c r="A36" s="506" t="s">
        <v>34</v>
      </c>
      <c r="B36" s="507" t="s">
        <v>77</v>
      </c>
      <c r="C36" s="508">
        <f t="shared" ref="C36:I36" si="17">C37+C39</f>
        <v>6538351.4073068351</v>
      </c>
      <c r="D36" s="509">
        <f t="shared" si="17"/>
        <v>231616</v>
      </c>
      <c r="E36" s="515">
        <f t="shared" si="17"/>
        <v>4211727.1000000006</v>
      </c>
      <c r="F36" s="509">
        <f>F37+F39</f>
        <v>2750960</v>
      </c>
      <c r="G36" s="510">
        <f t="shared" si="17"/>
        <v>6537667</v>
      </c>
      <c r="H36" s="509">
        <f t="shared" si="17"/>
        <v>-18385</v>
      </c>
      <c r="I36" s="510">
        <f t="shared" si="17"/>
        <v>0</v>
      </c>
      <c r="J36" s="509">
        <f t="shared" ref="J36" si="18">J37+J39</f>
        <v>-13333.7</v>
      </c>
      <c r="K36" s="516">
        <f>K37+K39</f>
        <v>684.40730683516483</v>
      </c>
    </row>
    <row r="37" spans="1:17" x14ac:dyDescent="0.2">
      <c r="A37" s="500" t="s">
        <v>17</v>
      </c>
      <c r="B37" s="490" t="s">
        <v>77</v>
      </c>
      <c r="C37" s="498">
        <f>G37+K37</f>
        <v>0</v>
      </c>
      <c r="D37" s="492">
        <v>0</v>
      </c>
      <c r="E37" s="526">
        <v>184.9</v>
      </c>
      <c r="F37" s="492">
        <v>0</v>
      </c>
      <c r="G37" s="527">
        <f>G39/(1-G38)-G39</f>
        <v>0</v>
      </c>
      <c r="H37" s="502"/>
      <c r="I37" s="528"/>
      <c r="J37" s="216"/>
      <c r="K37" s="527">
        <f>K39/(1-K38)-K39</f>
        <v>0</v>
      </c>
    </row>
    <row r="38" spans="1:17" x14ac:dyDescent="0.2">
      <c r="A38" s="489" t="s">
        <v>63</v>
      </c>
      <c r="B38" s="490" t="s">
        <v>22</v>
      </c>
      <c r="C38" s="529">
        <v>0</v>
      </c>
      <c r="D38" s="530">
        <v>0</v>
      </c>
      <c r="E38" s="531">
        <v>0</v>
      </c>
      <c r="F38" s="530">
        <v>0</v>
      </c>
      <c r="G38" s="532">
        <f>C38</f>
        <v>0</v>
      </c>
      <c r="H38" s="533"/>
      <c r="I38" s="534"/>
      <c r="J38" s="535"/>
      <c r="K38" s="536">
        <v>0</v>
      </c>
    </row>
    <row r="39" spans="1:17" x14ac:dyDescent="0.2">
      <c r="A39" s="537" t="s">
        <v>18</v>
      </c>
      <c r="B39" s="490" t="s">
        <v>77</v>
      </c>
      <c r="C39" s="501">
        <f>C40+C42+C43</f>
        <v>6538351.4073068351</v>
      </c>
      <c r="D39" s="538">
        <f>D40+D42+D43</f>
        <v>231616</v>
      </c>
      <c r="E39" s="539">
        <f t="shared" ref="E39:I39" si="19">E40+E42+E43</f>
        <v>4211542.2</v>
      </c>
      <c r="F39" s="538">
        <f>F40+F42+F43</f>
        <v>2750960</v>
      </c>
      <c r="G39" s="527">
        <f>G40+G42+G43</f>
        <v>6537667</v>
      </c>
      <c r="H39" s="538">
        <f t="shared" si="19"/>
        <v>-18385</v>
      </c>
      <c r="I39" s="527">
        <f t="shared" si="19"/>
        <v>0</v>
      </c>
      <c r="J39" s="540">
        <f t="shared" ref="J39" si="20">J40+J42+J43</f>
        <v>-13333.7</v>
      </c>
      <c r="K39" s="541">
        <f>K40+K42+K43</f>
        <v>684.40730683516483</v>
      </c>
    </row>
    <row r="40" spans="1:17" x14ac:dyDescent="0.2">
      <c r="A40" s="500" t="s">
        <v>65</v>
      </c>
      <c r="B40" s="490" t="s">
        <v>77</v>
      </c>
      <c r="C40" s="491"/>
      <c r="D40" s="492"/>
      <c r="E40" s="503"/>
      <c r="F40" s="492"/>
      <c r="G40" s="494">
        <f>ROUND(C40*$G$7,1)</f>
        <v>0</v>
      </c>
      <c r="H40" s="504"/>
      <c r="I40" s="505"/>
      <c r="J40" s="542"/>
      <c r="K40" s="543">
        <f>ROUND(C40*$K$7,1)</f>
        <v>0</v>
      </c>
    </row>
    <row r="41" spans="1:17" x14ac:dyDescent="0.2">
      <c r="A41" s="500" t="s">
        <v>64</v>
      </c>
      <c r="B41" s="490" t="s">
        <v>22</v>
      </c>
      <c r="C41" s="544">
        <f>IF(C39=0,0,C40/C39)</f>
        <v>0</v>
      </c>
      <c r="D41" s="545">
        <f t="shared" ref="D41:K41" si="21">IF(D39=0,0,D40/D39)</f>
        <v>0</v>
      </c>
      <c r="E41" s="546">
        <f t="shared" si="21"/>
        <v>0</v>
      </c>
      <c r="F41" s="545">
        <f t="shared" ref="F41" si="22">IF(F39=0,0,F40/F39)</f>
        <v>0</v>
      </c>
      <c r="G41" s="547">
        <f t="shared" si="21"/>
        <v>0</v>
      </c>
      <c r="H41" s="545">
        <f t="shared" si="21"/>
        <v>0</v>
      </c>
      <c r="I41" s="547">
        <f t="shared" si="21"/>
        <v>0</v>
      </c>
      <c r="J41" s="548">
        <f t="shared" ref="J41" si="23">IF(J39=0,0,J40/J39)</f>
        <v>0</v>
      </c>
      <c r="K41" s="549">
        <f t="shared" si="21"/>
        <v>0</v>
      </c>
    </row>
    <row r="42" spans="1:17" x14ac:dyDescent="0.2">
      <c r="A42" s="500" t="s">
        <v>19</v>
      </c>
      <c r="B42" s="490" t="s">
        <v>77</v>
      </c>
      <c r="C42" s="491"/>
      <c r="D42" s="492"/>
      <c r="E42" s="503"/>
      <c r="F42" s="492"/>
      <c r="G42" s="494">
        <f>ROUND(C42*$G$7,1)</f>
        <v>0</v>
      </c>
      <c r="H42" s="504"/>
      <c r="I42" s="505"/>
      <c r="J42" s="542"/>
      <c r="K42" s="543">
        <f>ROUND(C42*$K$7,1)</f>
        <v>0</v>
      </c>
    </row>
    <row r="43" spans="1:17" ht="28.5" customHeight="1" thickBot="1" x14ac:dyDescent="0.25">
      <c r="A43" s="550" t="s">
        <v>20</v>
      </c>
      <c r="B43" s="520" t="s">
        <v>77</v>
      </c>
      <c r="C43" s="215">
        <f>G43+K43</f>
        <v>6538351.4073068351</v>
      </c>
      <c r="D43" s="216">
        <f>231616</f>
        <v>231616</v>
      </c>
      <c r="E43" s="217">
        <f>4246148-E17</f>
        <v>4211542.2</v>
      </c>
      <c r="F43" s="216">
        <f>2750960</f>
        <v>2750960</v>
      </c>
      <c r="G43" s="218">
        <f>6537667</f>
        <v>6537667</v>
      </c>
      <c r="H43" s="551">
        <v>-18385</v>
      </c>
      <c r="I43" s="372">
        <v>0</v>
      </c>
      <c r="J43" s="552">
        <v>-13333.7</v>
      </c>
      <c r="K43" s="468">
        <f>K98</f>
        <v>684.40730683516483</v>
      </c>
    </row>
    <row r="44" spans="1:17" ht="36.75" customHeight="1" thickTop="1" thickBot="1" x14ac:dyDescent="0.25">
      <c r="A44" s="521" t="s">
        <v>87</v>
      </c>
      <c r="B44" s="522" t="s">
        <v>77</v>
      </c>
      <c r="C44" s="523">
        <f>C33+C36</f>
        <v>12498510.206003841</v>
      </c>
      <c r="D44" s="553">
        <f>D33+D36</f>
        <v>6420500</v>
      </c>
      <c r="E44" s="554">
        <f t="shared" ref="E44:K44" si="24">E33+E36</f>
        <v>8984481.1999999993</v>
      </c>
      <c r="F44" s="553">
        <f>F33+F36</f>
        <v>7640286.2999999998</v>
      </c>
      <c r="G44" s="555">
        <f>G33+G36</f>
        <v>12463605.433355249</v>
      </c>
      <c r="H44" s="556">
        <f>H33+H36</f>
        <v>24410</v>
      </c>
      <c r="I44" s="557">
        <f t="shared" si="24"/>
        <v>34723.200000000004</v>
      </c>
      <c r="J44" s="556">
        <f>J33+J36</f>
        <v>25348.999999999996</v>
      </c>
      <c r="K44" s="557">
        <f t="shared" si="24"/>
        <v>34904.772648593404</v>
      </c>
      <c r="M44" s="497"/>
    </row>
    <row r="45" spans="1:17" ht="30" customHeight="1" thickTop="1" x14ac:dyDescent="0.2">
      <c r="A45" s="558" t="s">
        <v>88</v>
      </c>
      <c r="B45" s="525" t="s">
        <v>77</v>
      </c>
      <c r="C45" s="559" t="s">
        <v>35</v>
      </c>
      <c r="D45" s="560" t="s">
        <v>35</v>
      </c>
      <c r="E45" s="561" t="s">
        <v>35</v>
      </c>
      <c r="F45" s="560" t="s">
        <v>35</v>
      </c>
      <c r="G45" s="562" t="s">
        <v>35</v>
      </c>
      <c r="H45" s="563">
        <f>H50*H63</f>
        <v>0</v>
      </c>
      <c r="I45" s="564">
        <f t="shared" ref="H45:K48" si="25">I50*I63</f>
        <v>0</v>
      </c>
      <c r="J45" s="565">
        <f>J50*J63</f>
        <v>0</v>
      </c>
      <c r="K45" s="566">
        <f t="shared" si="25"/>
        <v>0</v>
      </c>
    </row>
    <row r="46" spans="1:17" ht="33" customHeight="1" x14ac:dyDescent="0.2">
      <c r="A46" s="567" t="s">
        <v>89</v>
      </c>
      <c r="B46" s="490" t="s">
        <v>77</v>
      </c>
      <c r="C46" s="568" t="s">
        <v>35</v>
      </c>
      <c r="D46" s="569" t="s">
        <v>35</v>
      </c>
      <c r="E46" s="570" t="s">
        <v>35</v>
      </c>
      <c r="F46" s="569" t="s">
        <v>35</v>
      </c>
      <c r="G46" s="571" t="s">
        <v>35</v>
      </c>
      <c r="H46" s="563">
        <f>H51*H64</f>
        <v>0</v>
      </c>
      <c r="I46" s="564">
        <f t="shared" si="25"/>
        <v>0</v>
      </c>
      <c r="J46" s="565">
        <f>J51*J64</f>
        <v>0</v>
      </c>
      <c r="K46" s="566">
        <f t="shared" si="25"/>
        <v>0</v>
      </c>
    </row>
    <row r="47" spans="1:17" ht="39" customHeight="1" x14ac:dyDescent="0.2">
      <c r="A47" s="567" t="s">
        <v>301</v>
      </c>
      <c r="B47" s="490" t="s">
        <v>77</v>
      </c>
      <c r="C47" s="568" t="s">
        <v>35</v>
      </c>
      <c r="D47" s="569" t="s">
        <v>35</v>
      </c>
      <c r="E47" s="570" t="s">
        <v>35</v>
      </c>
      <c r="F47" s="569" t="s">
        <v>35</v>
      </c>
      <c r="G47" s="571" t="s">
        <v>35</v>
      </c>
      <c r="H47" s="563">
        <f t="shared" si="25"/>
        <v>0</v>
      </c>
      <c r="I47" s="564">
        <f t="shared" si="25"/>
        <v>0</v>
      </c>
      <c r="J47" s="565">
        <f t="shared" ref="J47" si="26">J52*J65</f>
        <v>0</v>
      </c>
      <c r="K47" s="566">
        <f t="shared" si="25"/>
        <v>0</v>
      </c>
    </row>
    <row r="48" spans="1:17" ht="26.25" customHeight="1" x14ac:dyDescent="0.2">
      <c r="A48" s="567" t="s">
        <v>302</v>
      </c>
      <c r="B48" s="490" t="s">
        <v>77</v>
      </c>
      <c r="C48" s="568" t="s">
        <v>35</v>
      </c>
      <c r="D48" s="569" t="s">
        <v>35</v>
      </c>
      <c r="E48" s="570" t="s">
        <v>35</v>
      </c>
      <c r="F48" s="569" t="s">
        <v>35</v>
      </c>
      <c r="G48" s="571" t="s">
        <v>35</v>
      </c>
      <c r="H48" s="563">
        <f>H53*H66</f>
        <v>24409.999999999996</v>
      </c>
      <c r="I48" s="564">
        <f t="shared" si="25"/>
        <v>34723.200000000004</v>
      </c>
      <c r="J48" s="565">
        <f t="shared" ref="J48" si="27">J53*J66</f>
        <v>25348.999999999996</v>
      </c>
      <c r="K48" s="566">
        <f t="shared" si="25"/>
        <v>34904.772648593404</v>
      </c>
    </row>
    <row r="49" spans="1:11" ht="24" customHeight="1" x14ac:dyDescent="0.2">
      <c r="A49" s="572" t="s">
        <v>66</v>
      </c>
      <c r="B49" s="507" t="s">
        <v>78</v>
      </c>
      <c r="C49" s="568" t="s">
        <v>35</v>
      </c>
      <c r="D49" s="180">
        <f>D44/D62/10</f>
        <v>167.27893283309885</v>
      </c>
      <c r="E49" s="180">
        <f t="shared" ref="E49" si="28">E44/E62/10</f>
        <v>233.46623703973177</v>
      </c>
      <c r="F49" s="180">
        <f>F44/F62/10</f>
        <v>229.2988639627421</v>
      </c>
      <c r="G49" s="573">
        <f>IF(G62=0,0,G44/G62/10)</f>
        <v>284.53121708874193</v>
      </c>
      <c r="H49" s="574">
        <f>IF(H62=0,0,H44/H62)</f>
        <v>309.06167306060951</v>
      </c>
      <c r="I49" s="573">
        <f>IF(I62=0,0,I44/I62)</f>
        <v>396.38356164383572</v>
      </c>
      <c r="J49" s="575">
        <f>IF(J62=0,0,J44/J62)</f>
        <v>312.70740041695962</v>
      </c>
      <c r="K49" s="576">
        <f>IF(K62=0,0,K44/K62)</f>
        <v>468.51414945562345</v>
      </c>
    </row>
    <row r="50" spans="1:11" ht="23.25" customHeight="1" x14ac:dyDescent="0.2">
      <c r="A50" s="577" t="s">
        <v>36</v>
      </c>
      <c r="B50" s="507" t="s">
        <v>37</v>
      </c>
      <c r="C50" s="568" t="s">
        <v>35</v>
      </c>
      <c r="D50" s="569" t="s">
        <v>35</v>
      </c>
      <c r="E50" s="578" t="s">
        <v>35</v>
      </c>
      <c r="F50" s="569" t="s">
        <v>35</v>
      </c>
      <c r="G50" s="571" t="s">
        <v>35</v>
      </c>
      <c r="H50" s="579">
        <v>0</v>
      </c>
      <c r="I50" s="373">
        <v>0</v>
      </c>
      <c r="J50" s="580">
        <v>0</v>
      </c>
      <c r="K50" s="576">
        <f>K53</f>
        <v>468.5141494556234</v>
      </c>
    </row>
    <row r="51" spans="1:11" ht="21.75" customHeight="1" x14ac:dyDescent="0.2">
      <c r="A51" s="577" t="s">
        <v>38</v>
      </c>
      <c r="B51" s="507" t="s">
        <v>37</v>
      </c>
      <c r="C51" s="568" t="s">
        <v>35</v>
      </c>
      <c r="D51" s="569" t="s">
        <v>35</v>
      </c>
      <c r="E51" s="578" t="s">
        <v>35</v>
      </c>
      <c r="F51" s="569" t="s">
        <v>35</v>
      </c>
      <c r="G51" s="571" t="s">
        <v>35</v>
      </c>
      <c r="H51" s="579">
        <v>0</v>
      </c>
      <c r="I51" s="373">
        <v>0</v>
      </c>
      <c r="J51" s="580">
        <v>0</v>
      </c>
      <c r="K51" s="576">
        <f>K53</f>
        <v>468.5141494556234</v>
      </c>
    </row>
    <row r="52" spans="1:11" ht="24.75" customHeight="1" x14ac:dyDescent="0.2">
      <c r="A52" s="577" t="s">
        <v>303</v>
      </c>
      <c r="B52" s="507" t="s">
        <v>37</v>
      </c>
      <c r="C52" s="568" t="s">
        <v>35</v>
      </c>
      <c r="D52" s="569" t="s">
        <v>35</v>
      </c>
      <c r="E52" s="578" t="s">
        <v>35</v>
      </c>
      <c r="F52" s="569" t="s">
        <v>35</v>
      </c>
      <c r="G52" s="571" t="s">
        <v>35</v>
      </c>
      <c r="H52" s="579">
        <v>0</v>
      </c>
      <c r="I52" s="373">
        <v>0</v>
      </c>
      <c r="J52" s="580">
        <v>0</v>
      </c>
      <c r="K52" s="576">
        <f>K53</f>
        <v>468.5141494556234</v>
      </c>
    </row>
    <row r="53" spans="1:11" ht="23.25" customHeight="1" x14ac:dyDescent="0.2">
      <c r="A53" s="577" t="s">
        <v>304</v>
      </c>
      <c r="B53" s="507" t="s">
        <v>37</v>
      </c>
      <c r="C53" s="568" t="s">
        <v>35</v>
      </c>
      <c r="D53" s="569" t="s">
        <v>35</v>
      </c>
      <c r="E53" s="578" t="s">
        <v>35</v>
      </c>
      <c r="F53" s="569" t="s">
        <v>35</v>
      </c>
      <c r="G53" s="571" t="s">
        <v>35</v>
      </c>
      <c r="H53" s="579">
        <f>H49</f>
        <v>309.06167306060951</v>
      </c>
      <c r="I53" s="579">
        <f>I49</f>
        <v>396.38356164383572</v>
      </c>
      <c r="J53" s="575">
        <f>J49</f>
        <v>312.70740041695962</v>
      </c>
      <c r="K53" s="576">
        <f>K83+K93+K103</f>
        <v>468.5141494556234</v>
      </c>
    </row>
    <row r="54" spans="1:11" ht="27.75" customHeight="1" x14ac:dyDescent="0.2">
      <c r="A54" s="537" t="s">
        <v>39</v>
      </c>
      <c r="B54" s="490" t="s">
        <v>78</v>
      </c>
      <c r="C54" s="568" t="s">
        <v>35</v>
      </c>
      <c r="D54" s="581">
        <f>IF(D62=0,0,D33/D62/10)</f>
        <v>161.24443749674327</v>
      </c>
      <c r="E54" s="582">
        <f>IF(E62=0,0,E33/E62/10)</f>
        <v>124.02240209962841</v>
      </c>
      <c r="F54" s="581">
        <f>IF(F62=0,0,F33/F62/10)</f>
        <v>146.73755957720553</v>
      </c>
      <c r="G54" s="583">
        <f>IF(G62=0,0,G33/G62/10)</f>
        <v>135.28304340597316</v>
      </c>
      <c r="H54" s="584">
        <f>IF(H62=0,0,H33/H62)</f>
        <v>541.8391765108064</v>
      </c>
      <c r="I54" s="583">
        <f>IF(I62=0,0,I33/I62)</f>
        <v>396.38356164383572</v>
      </c>
      <c r="J54" s="585">
        <f>IF(J62=0,0,J33/J62)</f>
        <v>477.19304738289969</v>
      </c>
      <c r="K54" s="586">
        <f>IF(K62=0,0,K33/K62)</f>
        <v>459.32759750551315</v>
      </c>
    </row>
    <row r="55" spans="1:11" ht="24.75" customHeight="1" x14ac:dyDescent="0.2">
      <c r="A55" s="587" t="s">
        <v>84</v>
      </c>
      <c r="B55" s="490" t="s">
        <v>40</v>
      </c>
      <c r="C55" s="568" t="s">
        <v>35</v>
      </c>
      <c r="D55" s="569" t="s">
        <v>35</v>
      </c>
      <c r="E55" s="578" t="s">
        <v>35</v>
      </c>
      <c r="F55" s="569" t="s">
        <v>35</v>
      </c>
      <c r="G55" s="571" t="s">
        <v>35</v>
      </c>
      <c r="H55" s="581">
        <f t="shared" ref="H55:I58" si="29">H80+H90</f>
        <v>0</v>
      </c>
      <c r="I55" s="588">
        <f>I80+I90</f>
        <v>0</v>
      </c>
      <c r="J55" s="589">
        <f t="shared" ref="J55" si="30">J80+J90</f>
        <v>0</v>
      </c>
      <c r="K55" s="586">
        <f>K80+K90</f>
        <v>0</v>
      </c>
    </row>
    <row r="56" spans="1:11" ht="27.75" customHeight="1" x14ac:dyDescent="0.2">
      <c r="A56" s="587" t="s">
        <v>85</v>
      </c>
      <c r="B56" s="490" t="s">
        <v>40</v>
      </c>
      <c r="C56" s="568" t="s">
        <v>35</v>
      </c>
      <c r="D56" s="569" t="s">
        <v>35</v>
      </c>
      <c r="E56" s="578" t="s">
        <v>35</v>
      </c>
      <c r="F56" s="569" t="s">
        <v>35</v>
      </c>
      <c r="G56" s="571" t="s">
        <v>35</v>
      </c>
      <c r="H56" s="581">
        <f t="shared" si="29"/>
        <v>0</v>
      </c>
      <c r="I56" s="588">
        <f t="shared" si="29"/>
        <v>0</v>
      </c>
      <c r="J56" s="589">
        <f t="shared" ref="J56" si="31">J81+J91</f>
        <v>0</v>
      </c>
      <c r="K56" s="586">
        <f>K81+K91</f>
        <v>0</v>
      </c>
    </row>
    <row r="57" spans="1:11" ht="27.75" customHeight="1" x14ac:dyDescent="0.2">
      <c r="A57" s="587" t="s">
        <v>306</v>
      </c>
      <c r="B57" s="490" t="s">
        <v>40</v>
      </c>
      <c r="C57" s="568" t="s">
        <v>35</v>
      </c>
      <c r="D57" s="569" t="s">
        <v>35</v>
      </c>
      <c r="E57" s="578" t="s">
        <v>35</v>
      </c>
      <c r="F57" s="569" t="s">
        <v>35</v>
      </c>
      <c r="G57" s="571" t="s">
        <v>35</v>
      </c>
      <c r="H57" s="581">
        <f t="shared" si="29"/>
        <v>0</v>
      </c>
      <c r="I57" s="588">
        <f t="shared" si="29"/>
        <v>0</v>
      </c>
      <c r="J57" s="589">
        <f t="shared" ref="J57" si="32">J82+J92</f>
        <v>0</v>
      </c>
      <c r="K57" s="586">
        <f>K82+K92</f>
        <v>0</v>
      </c>
    </row>
    <row r="58" spans="1:11" ht="27.75" customHeight="1" x14ac:dyDescent="0.2">
      <c r="A58" s="587" t="s">
        <v>305</v>
      </c>
      <c r="B58" s="490" t="s">
        <v>40</v>
      </c>
      <c r="C58" s="568" t="s">
        <v>35</v>
      </c>
      <c r="D58" s="569" t="s">
        <v>35</v>
      </c>
      <c r="E58" s="578" t="s">
        <v>35</v>
      </c>
      <c r="F58" s="569" t="s">
        <v>35</v>
      </c>
      <c r="G58" s="571" t="s">
        <v>35</v>
      </c>
      <c r="H58" s="581">
        <f t="shared" si="29"/>
        <v>541.83917651080651</v>
      </c>
      <c r="I58" s="588">
        <f>I83+I93</f>
        <v>396.38356164383566</v>
      </c>
      <c r="J58" s="589">
        <f t="shared" ref="J58" si="33">J83+J93</f>
        <v>477.19304738289964</v>
      </c>
      <c r="K58" s="586">
        <f>K83+K93</f>
        <v>459.32759750551315</v>
      </c>
    </row>
    <row r="59" spans="1:11" ht="26.25" customHeight="1" thickBot="1" x14ac:dyDescent="0.25">
      <c r="A59" s="590" t="s">
        <v>21</v>
      </c>
      <c r="B59" s="520" t="s">
        <v>22</v>
      </c>
      <c r="C59" s="591">
        <f t="shared" ref="C59:K59" si="34">IF(C33=0,0,C36/C33)</f>
        <v>1.0970095979214902</v>
      </c>
      <c r="D59" s="592">
        <f t="shared" si="34"/>
        <v>3.7424517893694567E-2</v>
      </c>
      <c r="E59" s="593">
        <f t="shared" si="34"/>
        <v>0.88245214644517322</v>
      </c>
      <c r="F59" s="592">
        <f t="shared" ref="F59" si="35">IF(F33=0,0,F36/F33)</f>
        <v>0.5626460234408982</v>
      </c>
      <c r="G59" s="594">
        <f t="shared" si="34"/>
        <v>1.1032289777432589</v>
      </c>
      <c r="H59" s="592">
        <f t="shared" si="34"/>
        <v>-0.42960626241383337</v>
      </c>
      <c r="I59" s="594">
        <f t="shared" si="34"/>
        <v>0</v>
      </c>
      <c r="J59" s="595">
        <f t="shared" ref="J59" si="36">IF(J33=0,0,J36/J33)</f>
        <v>-0.34469413975756608</v>
      </c>
      <c r="K59" s="596">
        <f t="shared" si="34"/>
        <v>0.02</v>
      </c>
    </row>
    <row r="60" spans="1:11" ht="40.5" customHeight="1" x14ac:dyDescent="0.2">
      <c r="A60" s="597" t="s">
        <v>67</v>
      </c>
      <c r="B60" s="598" t="s">
        <v>79</v>
      </c>
      <c r="C60" s="599" t="s">
        <v>35</v>
      </c>
      <c r="D60" s="600">
        <f>D61+D62</f>
        <v>4207.2219999999998</v>
      </c>
      <c r="E60" s="600">
        <v>4242.9350000000004</v>
      </c>
      <c r="F60" s="600">
        <f>F61+F62</f>
        <v>3657.3220000000001</v>
      </c>
      <c r="G60" s="601">
        <f>G61+G62</f>
        <v>4775.0349999999999</v>
      </c>
      <c r="H60" s="602">
        <f>H62</f>
        <v>78.980999999999995</v>
      </c>
      <c r="I60" s="603">
        <f>I62</f>
        <v>87.6</v>
      </c>
      <c r="J60" s="604">
        <f>J62</f>
        <v>81.063000000000002</v>
      </c>
      <c r="K60" s="605">
        <f>K62</f>
        <v>74.501000000000005</v>
      </c>
    </row>
    <row r="61" spans="1:11" ht="30" customHeight="1" x14ac:dyDescent="0.2">
      <c r="A61" s="537" t="s">
        <v>70</v>
      </c>
      <c r="B61" s="490" t="s">
        <v>79</v>
      </c>
      <c r="C61" s="568" t="s">
        <v>35</v>
      </c>
      <c r="D61" s="606">
        <v>369.02199999999999</v>
      </c>
      <c r="E61" s="181">
        <v>394.63499999999999</v>
      </c>
      <c r="F61" s="606">
        <v>325.30099999999999</v>
      </c>
      <c r="G61" s="380">
        <v>394.63499999999999</v>
      </c>
      <c r="H61" s="607" t="s">
        <v>35</v>
      </c>
      <c r="I61" s="608" t="s">
        <v>35</v>
      </c>
      <c r="J61" s="609" t="s">
        <v>35</v>
      </c>
      <c r="K61" s="610" t="s">
        <v>35</v>
      </c>
    </row>
    <row r="62" spans="1:11" ht="31.5" customHeight="1" x14ac:dyDescent="0.2">
      <c r="A62" s="537" t="s">
        <v>71</v>
      </c>
      <c r="B62" s="490" t="s">
        <v>79</v>
      </c>
      <c r="C62" s="568" t="s">
        <v>35</v>
      </c>
      <c r="D62" s="611">
        <f>D63+D64+D65</f>
        <v>3838.2</v>
      </c>
      <c r="E62" s="612">
        <f>E63+E64+E65</f>
        <v>3848.3</v>
      </c>
      <c r="F62" s="611">
        <f>F63+F64+F65</f>
        <v>3332.0210000000002</v>
      </c>
      <c r="G62" s="613">
        <f>ДОДАТОК_3!D32</f>
        <v>4380.3999999999996</v>
      </c>
      <c r="H62" s="611">
        <f>H63+H64+H65+H66</f>
        <v>78.980999999999995</v>
      </c>
      <c r="I62" s="614">
        <f>I63+I64+I65+I66</f>
        <v>87.6</v>
      </c>
      <c r="J62" s="615">
        <f>J63+J64+J65+J66</f>
        <v>81.063000000000002</v>
      </c>
      <c r="K62" s="616">
        <f>ДОДАТОК_3!D49</f>
        <v>74.501000000000005</v>
      </c>
    </row>
    <row r="63" spans="1:11" ht="32.25" customHeight="1" x14ac:dyDescent="0.2">
      <c r="A63" s="587" t="s">
        <v>74</v>
      </c>
      <c r="B63" s="490" t="s">
        <v>79</v>
      </c>
      <c r="C63" s="568" t="s">
        <v>35</v>
      </c>
      <c r="D63" s="606">
        <v>3838.2</v>
      </c>
      <c r="E63" s="181">
        <v>3848.3</v>
      </c>
      <c r="F63" s="606">
        <v>3332.0210000000002</v>
      </c>
      <c r="G63" s="184">
        <v>3848.3</v>
      </c>
      <c r="H63" s="606">
        <v>0</v>
      </c>
      <c r="I63" s="374">
        <v>0</v>
      </c>
      <c r="J63" s="617">
        <v>0</v>
      </c>
      <c r="K63" s="616">
        <f>ДОДАТОК_3!D50</f>
        <v>0</v>
      </c>
    </row>
    <row r="64" spans="1:11" ht="30.75" customHeight="1" x14ac:dyDescent="0.2">
      <c r="A64" s="587" t="s">
        <v>73</v>
      </c>
      <c r="B64" s="490" t="s">
        <v>79</v>
      </c>
      <c r="C64" s="568" t="s">
        <v>35</v>
      </c>
      <c r="D64" s="618"/>
      <c r="E64" s="184"/>
      <c r="F64" s="618"/>
      <c r="G64" s="184"/>
      <c r="H64" s="606">
        <v>0</v>
      </c>
      <c r="I64" s="375">
        <v>0</v>
      </c>
      <c r="J64" s="617">
        <v>0</v>
      </c>
      <c r="K64" s="616">
        <f>ДОДАТОК_3!D51</f>
        <v>0</v>
      </c>
    </row>
    <row r="65" spans="1:11" ht="28.5" customHeight="1" x14ac:dyDescent="0.2">
      <c r="A65" s="587" t="s">
        <v>308</v>
      </c>
      <c r="B65" s="490" t="s">
        <v>79</v>
      </c>
      <c r="C65" s="568" t="s">
        <v>35</v>
      </c>
      <c r="D65" s="618"/>
      <c r="E65" s="184"/>
      <c r="F65" s="618"/>
      <c r="G65" s="184"/>
      <c r="H65" s="606">
        <v>0</v>
      </c>
      <c r="I65" s="375">
        <v>0</v>
      </c>
      <c r="J65" s="617">
        <v>0</v>
      </c>
      <c r="K65" s="616">
        <f>ДОДАТОК_3!D52</f>
        <v>0</v>
      </c>
    </row>
    <row r="66" spans="1:11" ht="25.5" customHeight="1" thickBot="1" x14ac:dyDescent="0.25">
      <c r="A66" s="587" t="s">
        <v>307</v>
      </c>
      <c r="B66" s="490" t="s">
        <v>159</v>
      </c>
      <c r="C66" s="568" t="s">
        <v>35</v>
      </c>
      <c r="D66" s="619" t="s">
        <v>35</v>
      </c>
      <c r="E66" s="620" t="s">
        <v>35</v>
      </c>
      <c r="F66" s="619" t="s">
        <v>35</v>
      </c>
      <c r="G66" s="621" t="s">
        <v>35</v>
      </c>
      <c r="H66" s="606">
        <v>78.980999999999995</v>
      </c>
      <c r="I66" s="375">
        <v>87.6</v>
      </c>
      <c r="J66" s="622">
        <v>81.063000000000002</v>
      </c>
      <c r="K66" s="623">
        <f>ДОДАТОК_3!D53</f>
        <v>74.501000000000005</v>
      </c>
    </row>
    <row r="67" spans="1:11" ht="33" customHeight="1" x14ac:dyDescent="0.2">
      <c r="A67" s="597" t="s">
        <v>72</v>
      </c>
      <c r="B67" s="598" t="s">
        <v>80</v>
      </c>
      <c r="C67" s="624">
        <f>G67+K67</f>
        <v>1687.0429999999999</v>
      </c>
      <c r="D67" s="625">
        <v>1460.7539999999999</v>
      </c>
      <c r="E67" s="183">
        <v>1506.4349999999999</v>
      </c>
      <c r="F67" s="625">
        <v>1266.586</v>
      </c>
      <c r="G67" s="626">
        <f>ДОДАТОК_3!D34</f>
        <v>1677.7269999999999</v>
      </c>
      <c r="H67" s="627">
        <v>9.8659999999999997</v>
      </c>
      <c r="I67" s="376">
        <v>10.95</v>
      </c>
      <c r="J67" s="628">
        <v>10.115</v>
      </c>
      <c r="K67" s="629">
        <f>ДОДАТОК_3!D55</f>
        <v>9.3159999999999989</v>
      </c>
    </row>
    <row r="68" spans="1:11" ht="21.75" customHeight="1" x14ac:dyDescent="0.2">
      <c r="A68" s="587" t="s">
        <v>75</v>
      </c>
      <c r="B68" s="490" t="s">
        <v>80</v>
      </c>
      <c r="C68" s="630" t="s">
        <v>35</v>
      </c>
      <c r="D68" s="619" t="s">
        <v>35</v>
      </c>
      <c r="E68" s="620" t="s">
        <v>35</v>
      </c>
      <c r="F68" s="619" t="s">
        <v>35</v>
      </c>
      <c r="G68" s="621" t="s">
        <v>35</v>
      </c>
      <c r="H68" s="631"/>
      <c r="I68" s="377"/>
      <c r="J68" s="628"/>
      <c r="K68" s="616">
        <f>ДОДАТОК_3!D56</f>
        <v>0</v>
      </c>
    </row>
    <row r="69" spans="1:11" ht="20.25" customHeight="1" x14ac:dyDescent="0.2">
      <c r="A69" s="587" t="s">
        <v>76</v>
      </c>
      <c r="B69" s="490" t="s">
        <v>80</v>
      </c>
      <c r="C69" s="630" t="s">
        <v>35</v>
      </c>
      <c r="D69" s="619" t="s">
        <v>35</v>
      </c>
      <c r="E69" s="620" t="s">
        <v>35</v>
      </c>
      <c r="F69" s="619" t="s">
        <v>35</v>
      </c>
      <c r="G69" s="621" t="s">
        <v>35</v>
      </c>
      <c r="H69" s="631"/>
      <c r="I69" s="377"/>
      <c r="J69" s="628"/>
      <c r="K69" s="616">
        <f>ДОДАТОК_3!D60</f>
        <v>0</v>
      </c>
    </row>
    <row r="70" spans="1:11" ht="22.5" customHeight="1" x14ac:dyDescent="0.2">
      <c r="A70" s="587" t="s">
        <v>309</v>
      </c>
      <c r="B70" s="490" t="s">
        <v>80</v>
      </c>
      <c r="C70" s="630" t="s">
        <v>35</v>
      </c>
      <c r="D70" s="619" t="s">
        <v>35</v>
      </c>
      <c r="E70" s="620" t="s">
        <v>35</v>
      </c>
      <c r="F70" s="619" t="s">
        <v>35</v>
      </c>
      <c r="G70" s="621" t="s">
        <v>35</v>
      </c>
      <c r="H70" s="632"/>
      <c r="I70" s="378"/>
      <c r="J70" s="628"/>
      <c r="K70" s="633">
        <f>ДОДАТОК_3!D64</f>
        <v>0</v>
      </c>
    </row>
    <row r="71" spans="1:11" ht="17.25" customHeight="1" thickBot="1" x14ac:dyDescent="0.25">
      <c r="A71" s="634" t="s">
        <v>310</v>
      </c>
      <c r="B71" s="635" t="s">
        <v>80</v>
      </c>
      <c r="C71" s="636" t="s">
        <v>35</v>
      </c>
      <c r="D71" s="637" t="s">
        <v>35</v>
      </c>
      <c r="E71" s="638" t="s">
        <v>35</v>
      </c>
      <c r="F71" s="637" t="s">
        <v>35</v>
      </c>
      <c r="G71" s="639" t="s">
        <v>35</v>
      </c>
      <c r="H71" s="640">
        <v>9.8659999999999997</v>
      </c>
      <c r="I71" s="379">
        <v>10.95</v>
      </c>
      <c r="J71" s="628">
        <v>10.115</v>
      </c>
      <c r="K71" s="633">
        <f>ДОДАТОК_3!D68</f>
        <v>9.3159999999999989</v>
      </c>
    </row>
    <row r="72" spans="1:11" ht="30.75" customHeight="1" x14ac:dyDescent="0.2">
      <c r="A72" s="537" t="s">
        <v>96</v>
      </c>
      <c r="B72" s="490" t="s">
        <v>81</v>
      </c>
      <c r="C72" s="568" t="s">
        <v>35</v>
      </c>
      <c r="D72" s="618">
        <v>380.6</v>
      </c>
      <c r="E72" s="184">
        <v>391.5</v>
      </c>
      <c r="F72" s="618">
        <v>380.1</v>
      </c>
      <c r="G72" s="641">
        <f>G73</f>
        <v>383.00771619030229</v>
      </c>
      <c r="H72" s="642">
        <v>124.9</v>
      </c>
      <c r="I72" s="380">
        <v>125</v>
      </c>
      <c r="J72" s="383">
        <v>124.8</v>
      </c>
      <c r="K72" s="643">
        <f>K73</f>
        <v>125.04530140535024</v>
      </c>
    </row>
    <row r="73" spans="1:11" ht="28.5" customHeight="1" thickBot="1" x14ac:dyDescent="0.25">
      <c r="A73" s="644" t="s">
        <v>97</v>
      </c>
      <c r="B73" s="635" t="s">
        <v>81</v>
      </c>
      <c r="C73" s="645" t="s">
        <v>35</v>
      </c>
      <c r="D73" s="618">
        <v>380.6</v>
      </c>
      <c r="E73" s="184">
        <v>391.5</v>
      </c>
      <c r="F73" s="618">
        <v>380.1</v>
      </c>
      <c r="G73" s="646">
        <f>ДОДАТОК_3!D33</f>
        <v>383.00771619030229</v>
      </c>
      <c r="H73" s="647">
        <v>124.9</v>
      </c>
      <c r="I73" s="380">
        <v>125</v>
      </c>
      <c r="J73" s="648">
        <v>124.8</v>
      </c>
      <c r="K73" s="649">
        <f>ДОДАТОК_3!D54</f>
        <v>125.04530140535024</v>
      </c>
    </row>
    <row r="74" spans="1:11" ht="30" customHeight="1" x14ac:dyDescent="0.2">
      <c r="A74" s="597" t="s">
        <v>83</v>
      </c>
      <c r="B74" s="598" t="s">
        <v>77</v>
      </c>
      <c r="C74" s="650">
        <f>G74+K74</f>
        <v>4307101.3086970067</v>
      </c>
      <c r="D74" s="651">
        <f>D11</f>
        <v>5080242</v>
      </c>
      <c r="E74" s="652">
        <f>E11</f>
        <v>3729098.9</v>
      </c>
      <c r="F74" s="651">
        <f>F11</f>
        <v>3521643</v>
      </c>
      <c r="G74" s="601">
        <f>ДОДАТОК_3!D47</f>
        <v>4283291.7433552481</v>
      </c>
      <c r="H74" s="651">
        <f>H75+H76+H78+H77</f>
        <v>34607</v>
      </c>
      <c r="I74" s="601">
        <f>I75+I76+I78+I77</f>
        <v>27136.599999999995</v>
      </c>
      <c r="J74" s="653">
        <f>J75+J76+J78+J77</f>
        <v>28193</v>
      </c>
      <c r="K74" s="654">
        <f>K75+K76+K78+K77</f>
        <v>23809.565341758236</v>
      </c>
    </row>
    <row r="75" spans="1:11" ht="20.25" customHeight="1" x14ac:dyDescent="0.2">
      <c r="A75" s="587" t="s">
        <v>75</v>
      </c>
      <c r="B75" s="490" t="s">
        <v>77</v>
      </c>
      <c r="C75" s="568" t="s">
        <v>35</v>
      </c>
      <c r="D75" s="569" t="s">
        <v>35</v>
      </c>
      <c r="E75" s="570" t="s">
        <v>35</v>
      </c>
      <c r="F75" s="569" t="s">
        <v>35</v>
      </c>
      <c r="G75" s="571" t="s">
        <v>35</v>
      </c>
      <c r="H75" s="642"/>
      <c r="I75" s="380"/>
      <c r="J75" s="655"/>
      <c r="K75" s="656">
        <f>ДОДАТОК_3!D87</f>
        <v>0</v>
      </c>
    </row>
    <row r="76" spans="1:11" ht="20.25" customHeight="1" x14ac:dyDescent="0.2">
      <c r="A76" s="587" t="s">
        <v>76</v>
      </c>
      <c r="B76" s="490" t="s">
        <v>77</v>
      </c>
      <c r="C76" s="568" t="s">
        <v>35</v>
      </c>
      <c r="D76" s="569" t="s">
        <v>35</v>
      </c>
      <c r="E76" s="570" t="s">
        <v>35</v>
      </c>
      <c r="F76" s="569" t="s">
        <v>35</v>
      </c>
      <c r="G76" s="571" t="s">
        <v>35</v>
      </c>
      <c r="H76" s="642"/>
      <c r="I76" s="380"/>
      <c r="J76" s="655"/>
      <c r="K76" s="656">
        <f>ДОДАТОК_3!D88</f>
        <v>0</v>
      </c>
    </row>
    <row r="77" spans="1:11" ht="20.25" customHeight="1" x14ac:dyDescent="0.2">
      <c r="A77" s="587" t="s">
        <v>309</v>
      </c>
      <c r="B77" s="490" t="s">
        <v>77</v>
      </c>
      <c r="C77" s="568" t="s">
        <v>35</v>
      </c>
      <c r="D77" s="569" t="s">
        <v>35</v>
      </c>
      <c r="E77" s="570" t="s">
        <v>35</v>
      </c>
      <c r="F77" s="569" t="s">
        <v>35</v>
      </c>
      <c r="G77" s="571" t="s">
        <v>35</v>
      </c>
      <c r="H77" s="642"/>
      <c r="I77" s="380"/>
      <c r="J77" s="655"/>
      <c r="K77" s="656">
        <f>ДОДАТОК_3!D89</f>
        <v>0</v>
      </c>
    </row>
    <row r="78" spans="1:11" ht="20.25" customHeight="1" x14ac:dyDescent="0.2">
      <c r="A78" s="587" t="s">
        <v>310</v>
      </c>
      <c r="B78" s="490" t="s">
        <v>77</v>
      </c>
      <c r="C78" s="568" t="s">
        <v>35</v>
      </c>
      <c r="D78" s="569" t="s">
        <v>35</v>
      </c>
      <c r="E78" s="570" t="s">
        <v>35</v>
      </c>
      <c r="F78" s="569" t="s">
        <v>35</v>
      </c>
      <c r="G78" s="571" t="s">
        <v>35</v>
      </c>
      <c r="H78" s="642">
        <v>34607</v>
      </c>
      <c r="I78" s="380">
        <f>$I$11/$I$62*I66</f>
        <v>27136.599999999995</v>
      </c>
      <c r="J78" s="655">
        <f>J11</f>
        <v>28193</v>
      </c>
      <c r="K78" s="656">
        <f>ДОДАТОК_3!D90</f>
        <v>23809.565341758236</v>
      </c>
    </row>
    <row r="79" spans="1:11" ht="25.5" customHeight="1" x14ac:dyDescent="0.2">
      <c r="A79" s="537" t="s">
        <v>86</v>
      </c>
      <c r="B79" s="490" t="s">
        <v>82</v>
      </c>
      <c r="C79" s="568" t="s">
        <v>35</v>
      </c>
      <c r="D79" s="657">
        <f>IF(D62=0,0,D74/D62/10)</f>
        <v>132.36001250586213</v>
      </c>
      <c r="E79" s="612">
        <f>IF(E62=0,0,E74/E62/10)</f>
        <v>96.902499805108747</v>
      </c>
      <c r="F79" s="657">
        <f>IF(F62=0,0,F74/F62/10)</f>
        <v>105.69090050752982</v>
      </c>
      <c r="G79" s="613">
        <f>IF(G62=0,0,G74/G62/10)</f>
        <v>97.783118969848616</v>
      </c>
      <c r="H79" s="657">
        <f t="shared" ref="H79:K83" si="37">IF(H62=0,0,H74/H62)</f>
        <v>438.16867347843157</v>
      </c>
      <c r="I79" s="658">
        <f t="shared" si="37"/>
        <v>309.77853881278537</v>
      </c>
      <c r="J79" s="659">
        <f t="shared" ref="J79" si="38">IF(J62=0,0,J74/J62)</f>
        <v>347.79122410964311</v>
      </c>
      <c r="K79" s="660">
        <f t="shared" si="37"/>
        <v>319.58719133646844</v>
      </c>
    </row>
    <row r="80" spans="1:11" ht="20.25" customHeight="1" x14ac:dyDescent="0.2">
      <c r="A80" s="587" t="s">
        <v>75</v>
      </c>
      <c r="B80" s="490" t="s">
        <v>37</v>
      </c>
      <c r="C80" s="568" t="s">
        <v>35</v>
      </c>
      <c r="D80" s="569" t="s">
        <v>35</v>
      </c>
      <c r="E80" s="570" t="s">
        <v>35</v>
      </c>
      <c r="F80" s="569" t="s">
        <v>35</v>
      </c>
      <c r="G80" s="571" t="s">
        <v>35</v>
      </c>
      <c r="H80" s="657">
        <f>IF(H63=0,0,H75/H63)</f>
        <v>0</v>
      </c>
      <c r="I80" s="658">
        <f t="shared" si="37"/>
        <v>0</v>
      </c>
      <c r="J80" s="659">
        <f>IF(J63=0,0,J75/J63)</f>
        <v>0</v>
      </c>
      <c r="K80" s="660">
        <f t="shared" si="37"/>
        <v>0</v>
      </c>
    </row>
    <row r="81" spans="1:11" ht="20.25" customHeight="1" x14ac:dyDescent="0.2">
      <c r="A81" s="587" t="s">
        <v>76</v>
      </c>
      <c r="B81" s="490" t="s">
        <v>37</v>
      </c>
      <c r="C81" s="568" t="s">
        <v>35</v>
      </c>
      <c r="D81" s="569" t="s">
        <v>35</v>
      </c>
      <c r="E81" s="570" t="s">
        <v>35</v>
      </c>
      <c r="F81" s="569" t="s">
        <v>35</v>
      </c>
      <c r="G81" s="571" t="s">
        <v>35</v>
      </c>
      <c r="H81" s="657">
        <f t="shared" si="37"/>
        <v>0</v>
      </c>
      <c r="I81" s="658">
        <f t="shared" si="37"/>
        <v>0</v>
      </c>
      <c r="J81" s="659">
        <f t="shared" ref="J81" si="39">IF(J64=0,0,J76/J64)</f>
        <v>0</v>
      </c>
      <c r="K81" s="660">
        <f t="shared" si="37"/>
        <v>0</v>
      </c>
    </row>
    <row r="82" spans="1:11" ht="20.25" customHeight="1" x14ac:dyDescent="0.2">
      <c r="A82" s="587" t="s">
        <v>309</v>
      </c>
      <c r="B82" s="490" t="s">
        <v>37</v>
      </c>
      <c r="C82" s="568" t="s">
        <v>35</v>
      </c>
      <c r="D82" s="569" t="s">
        <v>35</v>
      </c>
      <c r="E82" s="570" t="s">
        <v>35</v>
      </c>
      <c r="F82" s="569" t="s">
        <v>35</v>
      </c>
      <c r="G82" s="571" t="s">
        <v>35</v>
      </c>
      <c r="H82" s="657">
        <f t="shared" si="37"/>
        <v>0</v>
      </c>
      <c r="I82" s="658">
        <f t="shared" si="37"/>
        <v>0</v>
      </c>
      <c r="J82" s="659">
        <f t="shared" ref="J82" si="40">IF(J65=0,0,J77/J65)</f>
        <v>0</v>
      </c>
      <c r="K82" s="660">
        <f t="shared" si="37"/>
        <v>0</v>
      </c>
    </row>
    <row r="83" spans="1:11" ht="20.25" customHeight="1" thickBot="1" x14ac:dyDescent="0.25">
      <c r="A83" s="587" t="s">
        <v>310</v>
      </c>
      <c r="B83" s="635" t="s">
        <v>37</v>
      </c>
      <c r="C83" s="645" t="s">
        <v>35</v>
      </c>
      <c r="D83" s="661" t="s">
        <v>35</v>
      </c>
      <c r="E83" s="662" t="s">
        <v>35</v>
      </c>
      <c r="F83" s="661" t="s">
        <v>35</v>
      </c>
      <c r="G83" s="663" t="s">
        <v>35</v>
      </c>
      <c r="H83" s="657">
        <f t="shared" si="37"/>
        <v>438.16867347843157</v>
      </c>
      <c r="I83" s="658">
        <f t="shared" si="37"/>
        <v>309.77853881278537</v>
      </c>
      <c r="J83" s="664">
        <f t="shared" ref="J83" si="41">IF(J66=0,0,J78/J66)</f>
        <v>347.79122410964311</v>
      </c>
      <c r="K83" s="665">
        <f t="shared" si="37"/>
        <v>319.58719133646844</v>
      </c>
    </row>
    <row r="84" spans="1:11" ht="31.5" customHeight="1" x14ac:dyDescent="0.2">
      <c r="A84" s="597" t="s">
        <v>90</v>
      </c>
      <c r="B84" s="598" t="s">
        <v>77</v>
      </c>
      <c r="C84" s="650">
        <f>G84+K84</f>
        <v>1653057.4900000005</v>
      </c>
      <c r="D84" s="651">
        <f>D33-D11</f>
        <v>1108642</v>
      </c>
      <c r="E84" s="666">
        <f t="shared" ref="E84:I84" si="42">E33-E11</f>
        <v>1043655.1999999997</v>
      </c>
      <c r="F84" s="651">
        <f t="shared" ref="F84" si="43">F33-F11</f>
        <v>1367683.2999999998</v>
      </c>
      <c r="G84" s="601">
        <f>G33-G11</f>
        <v>1642646.6900000004</v>
      </c>
      <c r="H84" s="667">
        <f t="shared" si="42"/>
        <v>8188</v>
      </c>
      <c r="I84" s="668">
        <f t="shared" si="42"/>
        <v>7586.6000000000058</v>
      </c>
      <c r="J84" s="669">
        <f t="shared" ref="J84" si="44">J33-J11</f>
        <v>10489.699999999997</v>
      </c>
      <c r="K84" s="670">
        <f>K33-K11</f>
        <v>10410.800000000003</v>
      </c>
    </row>
    <row r="85" spans="1:11" ht="15" customHeight="1" x14ac:dyDescent="0.2">
      <c r="A85" s="587" t="s">
        <v>75</v>
      </c>
      <c r="B85" s="490" t="s">
        <v>77</v>
      </c>
      <c r="C85" s="568" t="s">
        <v>35</v>
      </c>
      <c r="D85" s="569" t="s">
        <v>35</v>
      </c>
      <c r="E85" s="570" t="s">
        <v>35</v>
      </c>
      <c r="F85" s="569" t="s">
        <v>35</v>
      </c>
      <c r="G85" s="571" t="s">
        <v>35</v>
      </c>
      <c r="H85" s="657">
        <f>IF(H62=0,0,H84/H62*H63)</f>
        <v>0</v>
      </c>
      <c r="I85" s="658">
        <f>IF(I62=0,0,I84/I62*I63)</f>
        <v>0</v>
      </c>
      <c r="J85" s="659">
        <f>IF(J62=0,0,J84/J62*J63)</f>
        <v>0</v>
      </c>
      <c r="K85" s="660">
        <f>IF(K62=0,0,K84/K62*K63)</f>
        <v>0</v>
      </c>
    </row>
    <row r="86" spans="1:11" ht="15" customHeight="1" x14ac:dyDescent="0.2">
      <c r="A86" s="587" t="s">
        <v>76</v>
      </c>
      <c r="B86" s="490" t="s">
        <v>77</v>
      </c>
      <c r="C86" s="568" t="s">
        <v>35</v>
      </c>
      <c r="D86" s="569" t="s">
        <v>35</v>
      </c>
      <c r="E86" s="570" t="s">
        <v>35</v>
      </c>
      <c r="F86" s="569" t="s">
        <v>35</v>
      </c>
      <c r="G86" s="571" t="s">
        <v>35</v>
      </c>
      <c r="H86" s="657">
        <f>IF(H62=0,0,H84/H62*H64)</f>
        <v>0</v>
      </c>
      <c r="I86" s="658">
        <f>IF(I62=0,0,I84/I62*I64)</f>
        <v>0</v>
      </c>
      <c r="J86" s="659">
        <f>IF(J62=0,0,J84/J62*J64)</f>
        <v>0</v>
      </c>
      <c r="K86" s="660">
        <f>IF(K62=0,0,K84/K62*K64)</f>
        <v>0</v>
      </c>
    </row>
    <row r="87" spans="1:11" ht="15" customHeight="1" x14ac:dyDescent="0.2">
      <c r="A87" s="587" t="s">
        <v>309</v>
      </c>
      <c r="B87" s="490" t="s">
        <v>77</v>
      </c>
      <c r="C87" s="568" t="s">
        <v>35</v>
      </c>
      <c r="D87" s="569" t="s">
        <v>35</v>
      </c>
      <c r="E87" s="570" t="s">
        <v>35</v>
      </c>
      <c r="F87" s="569" t="s">
        <v>35</v>
      </c>
      <c r="G87" s="571" t="s">
        <v>35</v>
      </c>
      <c r="H87" s="657">
        <f>IF(H62=0,0,H84/H62*H65)</f>
        <v>0</v>
      </c>
      <c r="I87" s="658">
        <f>IF(I62=0,0,I84/I62*I65)</f>
        <v>0</v>
      </c>
      <c r="J87" s="659">
        <f>IF(J62=0,0,J84/J62*J65)</f>
        <v>0</v>
      </c>
      <c r="K87" s="660">
        <f>IF(K62=0,0,K84/K62*K65)</f>
        <v>0</v>
      </c>
    </row>
    <row r="88" spans="1:11" ht="15" customHeight="1" x14ac:dyDescent="0.2">
      <c r="A88" s="587" t="s">
        <v>310</v>
      </c>
      <c r="B88" s="490" t="s">
        <v>77</v>
      </c>
      <c r="C88" s="568" t="s">
        <v>35</v>
      </c>
      <c r="D88" s="569" t="s">
        <v>35</v>
      </c>
      <c r="E88" s="570" t="s">
        <v>35</v>
      </c>
      <c r="F88" s="569" t="s">
        <v>35</v>
      </c>
      <c r="G88" s="571" t="s">
        <v>35</v>
      </c>
      <c r="H88" s="657">
        <f>IF(H62=0,0,H84/H62*H66)</f>
        <v>8188</v>
      </c>
      <c r="I88" s="658">
        <f>IF(I62=0,0,I84/I62*I66)</f>
        <v>7586.6000000000067</v>
      </c>
      <c r="J88" s="659">
        <f>IF(J62=0,0,J84/J62*J66)</f>
        <v>10489.699999999997</v>
      </c>
      <c r="K88" s="660">
        <f>IF(K62=0,0,K84/K62*K66)</f>
        <v>10410.800000000003</v>
      </c>
    </row>
    <row r="89" spans="1:11" ht="30.75" customHeight="1" x14ac:dyDescent="0.2">
      <c r="A89" s="537" t="s">
        <v>91</v>
      </c>
      <c r="B89" s="490" t="s">
        <v>82</v>
      </c>
      <c r="C89" s="568" t="s">
        <v>35</v>
      </c>
      <c r="D89" s="657">
        <f>IF(D62=0,0,D84/D62/10)</f>
        <v>28.884424990881143</v>
      </c>
      <c r="E89" s="671">
        <f>IF(E62=0,0,E84/E62/10)</f>
        <v>27.119902294519648</v>
      </c>
      <c r="F89" s="657">
        <f>IF(F62=0,0,F84/F62/10)</f>
        <v>41.046659069675727</v>
      </c>
      <c r="G89" s="658">
        <f>IF(G62=0,0,G84/G62/10)</f>
        <v>37.499924436124573</v>
      </c>
      <c r="H89" s="657">
        <f t="shared" ref="H89:K93" si="45">IF(H62=0,0,H84/H62)</f>
        <v>103.67050303237488</v>
      </c>
      <c r="I89" s="658">
        <f t="shared" si="45"/>
        <v>86.605022831050306</v>
      </c>
      <c r="J89" s="659">
        <f t="shared" ref="J89" si="46">IF(J62=0,0,J84/J62)</f>
        <v>129.40182327325655</v>
      </c>
      <c r="K89" s="660">
        <f t="shared" si="45"/>
        <v>139.74040616904475</v>
      </c>
    </row>
    <row r="90" spans="1:11" ht="15" customHeight="1" x14ac:dyDescent="0.2">
      <c r="A90" s="587" t="s">
        <v>75</v>
      </c>
      <c r="B90" s="490" t="s">
        <v>37</v>
      </c>
      <c r="C90" s="568" t="s">
        <v>35</v>
      </c>
      <c r="D90" s="569" t="s">
        <v>35</v>
      </c>
      <c r="E90" s="570" t="s">
        <v>35</v>
      </c>
      <c r="F90" s="569" t="s">
        <v>35</v>
      </c>
      <c r="G90" s="571" t="s">
        <v>35</v>
      </c>
      <c r="H90" s="657">
        <f t="shared" si="45"/>
        <v>0</v>
      </c>
      <c r="I90" s="658">
        <f t="shared" si="45"/>
        <v>0</v>
      </c>
      <c r="J90" s="659">
        <f t="shared" ref="J90" si="47">IF(J63=0,0,J85/J63)</f>
        <v>0</v>
      </c>
      <c r="K90" s="660">
        <f t="shared" si="45"/>
        <v>0</v>
      </c>
    </row>
    <row r="91" spans="1:11" ht="15" customHeight="1" x14ac:dyDescent="0.2">
      <c r="A91" s="587" t="s">
        <v>76</v>
      </c>
      <c r="B91" s="490" t="s">
        <v>37</v>
      </c>
      <c r="C91" s="568" t="s">
        <v>35</v>
      </c>
      <c r="D91" s="569" t="s">
        <v>35</v>
      </c>
      <c r="E91" s="570" t="s">
        <v>35</v>
      </c>
      <c r="F91" s="569" t="s">
        <v>35</v>
      </c>
      <c r="G91" s="571" t="s">
        <v>35</v>
      </c>
      <c r="H91" s="657">
        <f t="shared" si="45"/>
        <v>0</v>
      </c>
      <c r="I91" s="658">
        <f t="shared" si="45"/>
        <v>0</v>
      </c>
      <c r="J91" s="659">
        <f t="shared" ref="J91" si="48">IF(J64=0,0,J86/J64)</f>
        <v>0</v>
      </c>
      <c r="K91" s="660">
        <f t="shared" si="45"/>
        <v>0</v>
      </c>
    </row>
    <row r="92" spans="1:11" ht="15" customHeight="1" x14ac:dyDescent="0.2">
      <c r="A92" s="587" t="s">
        <v>309</v>
      </c>
      <c r="B92" s="490" t="s">
        <v>37</v>
      </c>
      <c r="C92" s="568" t="s">
        <v>35</v>
      </c>
      <c r="D92" s="569" t="s">
        <v>35</v>
      </c>
      <c r="E92" s="570" t="s">
        <v>35</v>
      </c>
      <c r="F92" s="569" t="s">
        <v>35</v>
      </c>
      <c r="G92" s="571" t="s">
        <v>35</v>
      </c>
      <c r="H92" s="657">
        <f t="shared" si="45"/>
        <v>0</v>
      </c>
      <c r="I92" s="658">
        <f t="shared" si="45"/>
        <v>0</v>
      </c>
      <c r="J92" s="659">
        <f t="shared" ref="J92" si="49">IF(J65=0,0,J87/J65)</f>
        <v>0</v>
      </c>
      <c r="K92" s="660">
        <f t="shared" si="45"/>
        <v>0</v>
      </c>
    </row>
    <row r="93" spans="1:11" ht="15" customHeight="1" thickBot="1" x14ac:dyDescent="0.25">
      <c r="A93" s="587" t="s">
        <v>310</v>
      </c>
      <c r="B93" s="490" t="s">
        <v>37</v>
      </c>
      <c r="C93" s="645" t="s">
        <v>35</v>
      </c>
      <c r="D93" s="661" t="s">
        <v>35</v>
      </c>
      <c r="E93" s="662" t="s">
        <v>35</v>
      </c>
      <c r="F93" s="661" t="s">
        <v>35</v>
      </c>
      <c r="G93" s="663" t="s">
        <v>35</v>
      </c>
      <c r="H93" s="657">
        <f t="shared" si="45"/>
        <v>103.67050303237488</v>
      </c>
      <c r="I93" s="658">
        <f t="shared" si="45"/>
        <v>86.605022831050306</v>
      </c>
      <c r="J93" s="664">
        <f t="shared" ref="J93" si="50">IF(J66=0,0,J88/J66)</f>
        <v>129.40182327325655</v>
      </c>
      <c r="K93" s="665">
        <f t="shared" si="45"/>
        <v>139.74040616904475</v>
      </c>
    </row>
    <row r="94" spans="1:11" ht="26.25" customHeight="1" x14ac:dyDescent="0.2">
      <c r="A94" s="597" t="s">
        <v>92</v>
      </c>
      <c r="B94" s="598" t="s">
        <v>77</v>
      </c>
      <c r="C94" s="650">
        <f>G94+K94</f>
        <v>6538351.4073068351</v>
      </c>
      <c r="D94" s="651">
        <f t="shared" ref="D94:H94" si="51">D36</f>
        <v>231616</v>
      </c>
      <c r="E94" s="666">
        <f t="shared" si="51"/>
        <v>4211727.1000000006</v>
      </c>
      <c r="F94" s="651">
        <f t="shared" ref="F94" si="52">F36</f>
        <v>2750960</v>
      </c>
      <c r="G94" s="601">
        <f t="shared" si="51"/>
        <v>6537667</v>
      </c>
      <c r="H94" s="651">
        <f t="shared" si="51"/>
        <v>-18385</v>
      </c>
      <c r="I94" s="601">
        <f>I36</f>
        <v>0</v>
      </c>
      <c r="J94" s="653">
        <f t="shared" ref="J94" si="53">J36</f>
        <v>-13333.7</v>
      </c>
      <c r="K94" s="670">
        <f>K36</f>
        <v>684.40730683516483</v>
      </c>
    </row>
    <row r="95" spans="1:11" ht="15" customHeight="1" x14ac:dyDescent="0.2">
      <c r="A95" s="587" t="s">
        <v>75</v>
      </c>
      <c r="B95" s="490" t="s">
        <v>77</v>
      </c>
      <c r="C95" s="568" t="s">
        <v>35</v>
      </c>
      <c r="D95" s="569" t="s">
        <v>35</v>
      </c>
      <c r="E95" s="570" t="s">
        <v>35</v>
      </c>
      <c r="F95" s="569" t="s">
        <v>35</v>
      </c>
      <c r="G95" s="571" t="s">
        <v>35</v>
      </c>
      <c r="H95" s="642"/>
      <c r="I95" s="380"/>
      <c r="J95" s="655"/>
      <c r="K95" s="672">
        <f>+(K75+K85)*0.02</f>
        <v>0</v>
      </c>
    </row>
    <row r="96" spans="1:11" ht="15" customHeight="1" x14ac:dyDescent="0.2">
      <c r="A96" s="587" t="s">
        <v>76</v>
      </c>
      <c r="B96" s="490" t="s">
        <v>77</v>
      </c>
      <c r="C96" s="568" t="s">
        <v>35</v>
      </c>
      <c r="D96" s="569" t="s">
        <v>35</v>
      </c>
      <c r="E96" s="570" t="s">
        <v>35</v>
      </c>
      <c r="F96" s="569" t="s">
        <v>35</v>
      </c>
      <c r="G96" s="571" t="s">
        <v>35</v>
      </c>
      <c r="H96" s="642"/>
      <c r="I96" s="380"/>
      <c r="J96" s="655"/>
      <c r="K96" s="672">
        <f t="shared" ref="K96:K98" si="54">+(K76+K86)*0.02</f>
        <v>0</v>
      </c>
    </row>
    <row r="97" spans="1:15" ht="15" customHeight="1" x14ac:dyDescent="0.2">
      <c r="A97" s="587" t="s">
        <v>309</v>
      </c>
      <c r="B97" s="490" t="s">
        <v>77</v>
      </c>
      <c r="C97" s="568" t="s">
        <v>35</v>
      </c>
      <c r="D97" s="569" t="s">
        <v>35</v>
      </c>
      <c r="E97" s="570" t="s">
        <v>35</v>
      </c>
      <c r="F97" s="569" t="s">
        <v>35</v>
      </c>
      <c r="G97" s="571" t="s">
        <v>35</v>
      </c>
      <c r="H97" s="642"/>
      <c r="I97" s="380"/>
      <c r="J97" s="655"/>
      <c r="K97" s="672">
        <f t="shared" si="54"/>
        <v>0</v>
      </c>
    </row>
    <row r="98" spans="1:15" ht="17.25" customHeight="1" x14ac:dyDescent="0.2">
      <c r="A98" s="587" t="s">
        <v>310</v>
      </c>
      <c r="B98" s="490" t="s">
        <v>77</v>
      </c>
      <c r="C98" s="568" t="s">
        <v>35</v>
      </c>
      <c r="D98" s="569" t="s">
        <v>35</v>
      </c>
      <c r="E98" s="570" t="s">
        <v>35</v>
      </c>
      <c r="F98" s="569" t="s">
        <v>35</v>
      </c>
      <c r="G98" s="571" t="s">
        <v>35</v>
      </c>
      <c r="H98" s="642"/>
      <c r="I98" s="380"/>
      <c r="J98" s="655"/>
      <c r="K98" s="673">
        <f t="shared" si="54"/>
        <v>684.40730683516483</v>
      </c>
    </row>
    <row r="99" spans="1:15" ht="27.75" customHeight="1" x14ac:dyDescent="0.2">
      <c r="A99" s="537" t="s">
        <v>93</v>
      </c>
      <c r="B99" s="490" t="s">
        <v>82</v>
      </c>
      <c r="C99" s="568" t="s">
        <v>35</v>
      </c>
      <c r="D99" s="657">
        <f>IF(D62=0,0,D94/D62/10)</f>
        <v>6.034495336355584</v>
      </c>
      <c r="E99" s="612">
        <f>IF(E62=0,0,E94/E62/10)</f>
        <v>109.44383494010344</v>
      </c>
      <c r="F99" s="657">
        <f>IF(F62=0,0,F94/F62/10)</f>
        <v>82.561304385536587</v>
      </c>
      <c r="G99" s="613">
        <f>IF(G62=0,0,G94/G62/10)</f>
        <v>149.24817368276871</v>
      </c>
      <c r="H99" s="674">
        <f t="shared" ref="H99:K103" si="55">IF(H62=0,0,H94/H62)</f>
        <v>-232.77750345019689</v>
      </c>
      <c r="I99" s="613">
        <f t="shared" si="55"/>
        <v>0</v>
      </c>
      <c r="J99" s="565">
        <f t="shared" ref="J99" si="56">IF(J62=0,0,J94/J62)</f>
        <v>-164.48564696594008</v>
      </c>
      <c r="K99" s="660">
        <f t="shared" si="55"/>
        <v>9.1865519501102639</v>
      </c>
    </row>
    <row r="100" spans="1:15" ht="15" customHeight="1" x14ac:dyDescent="0.2">
      <c r="A100" s="587" t="s">
        <v>75</v>
      </c>
      <c r="B100" s="490" t="s">
        <v>37</v>
      </c>
      <c r="C100" s="568" t="s">
        <v>35</v>
      </c>
      <c r="D100" s="569" t="s">
        <v>35</v>
      </c>
      <c r="E100" s="570" t="s">
        <v>35</v>
      </c>
      <c r="F100" s="569" t="s">
        <v>35</v>
      </c>
      <c r="G100" s="571" t="s">
        <v>35</v>
      </c>
      <c r="H100" s="674">
        <f t="shared" si="55"/>
        <v>0</v>
      </c>
      <c r="I100" s="613">
        <f t="shared" si="55"/>
        <v>0</v>
      </c>
      <c r="J100" s="565">
        <f t="shared" ref="J100" si="57">IF(J63=0,0,J95/J63)</f>
        <v>0</v>
      </c>
      <c r="K100" s="656">
        <f t="shared" si="55"/>
        <v>0</v>
      </c>
    </row>
    <row r="101" spans="1:15" ht="15" customHeight="1" x14ac:dyDescent="0.2">
      <c r="A101" s="587" t="s">
        <v>76</v>
      </c>
      <c r="B101" s="490" t="s">
        <v>37</v>
      </c>
      <c r="C101" s="568" t="s">
        <v>35</v>
      </c>
      <c r="D101" s="569" t="s">
        <v>35</v>
      </c>
      <c r="E101" s="570" t="s">
        <v>35</v>
      </c>
      <c r="F101" s="569" t="s">
        <v>35</v>
      </c>
      <c r="G101" s="571" t="s">
        <v>35</v>
      </c>
      <c r="H101" s="674">
        <f t="shared" si="55"/>
        <v>0</v>
      </c>
      <c r="I101" s="613">
        <f t="shared" si="55"/>
        <v>0</v>
      </c>
      <c r="J101" s="565">
        <f t="shared" ref="J101" si="58">IF(J64=0,0,J96/J64)</f>
        <v>0</v>
      </c>
      <c r="K101" s="656">
        <f t="shared" si="55"/>
        <v>0</v>
      </c>
    </row>
    <row r="102" spans="1:15" ht="15" customHeight="1" x14ac:dyDescent="0.2">
      <c r="A102" s="587" t="s">
        <v>309</v>
      </c>
      <c r="B102" s="490" t="s">
        <v>37</v>
      </c>
      <c r="C102" s="568" t="s">
        <v>35</v>
      </c>
      <c r="D102" s="569" t="s">
        <v>35</v>
      </c>
      <c r="E102" s="570" t="s">
        <v>35</v>
      </c>
      <c r="F102" s="569" t="s">
        <v>35</v>
      </c>
      <c r="G102" s="571" t="s">
        <v>35</v>
      </c>
      <c r="H102" s="674">
        <f t="shared" si="55"/>
        <v>0</v>
      </c>
      <c r="I102" s="613">
        <f t="shared" si="55"/>
        <v>0</v>
      </c>
      <c r="J102" s="565">
        <f t="shared" ref="J102" si="59">IF(J65=0,0,J97/J65)</f>
        <v>0</v>
      </c>
      <c r="K102" s="656">
        <f t="shared" si="55"/>
        <v>0</v>
      </c>
    </row>
    <row r="103" spans="1:15" ht="15" customHeight="1" thickBot="1" x14ac:dyDescent="0.25">
      <c r="A103" s="587" t="s">
        <v>310</v>
      </c>
      <c r="B103" s="490" t="s">
        <v>37</v>
      </c>
      <c r="C103" s="645" t="s">
        <v>35</v>
      </c>
      <c r="D103" s="661" t="s">
        <v>35</v>
      </c>
      <c r="E103" s="662" t="s">
        <v>35</v>
      </c>
      <c r="F103" s="661" t="s">
        <v>35</v>
      </c>
      <c r="G103" s="663" t="s">
        <v>35</v>
      </c>
      <c r="H103" s="674">
        <v>0</v>
      </c>
      <c r="I103" s="613">
        <f t="shared" si="55"/>
        <v>0</v>
      </c>
      <c r="J103" s="675">
        <v>0</v>
      </c>
      <c r="K103" s="665">
        <f>IF(K66=0,0,K98/K66)</f>
        <v>9.1865519501102639</v>
      </c>
    </row>
    <row r="104" spans="1:15" ht="15" customHeight="1" x14ac:dyDescent="0.2">
      <c r="A104" s="597" t="s">
        <v>41</v>
      </c>
      <c r="B104" s="598" t="s">
        <v>42</v>
      </c>
      <c r="C104" s="599" t="s">
        <v>35</v>
      </c>
      <c r="D104" s="676">
        <f>D11/D67</f>
        <v>3477.821727683101</v>
      </c>
      <c r="E104" s="676">
        <f t="shared" ref="E104:I104" si="60">E11/E67</f>
        <v>2475.4462688400099</v>
      </c>
      <c r="F104" s="676">
        <f>F11/F67</f>
        <v>2780.4215426350834</v>
      </c>
      <c r="G104" s="668">
        <f>ДОДАТОК_3!D29</f>
        <v>2553.0326110000306</v>
      </c>
      <c r="H104" s="676">
        <f t="shared" si="60"/>
        <v>3507.703223190756</v>
      </c>
      <c r="I104" s="677">
        <f t="shared" si="60"/>
        <v>2478.228310502283</v>
      </c>
      <c r="J104" s="678">
        <f t="shared" ref="J104" si="61">J11/J67</f>
        <v>2787.2466633712306</v>
      </c>
      <c r="K104" s="679">
        <f>ДОДАТОК_3!D30</f>
        <v>2555.7712904420609</v>
      </c>
    </row>
    <row r="105" spans="1:15" ht="15" customHeight="1" x14ac:dyDescent="0.2">
      <c r="A105" s="537" t="s">
        <v>43</v>
      </c>
      <c r="B105" s="490"/>
      <c r="C105" s="568" t="s">
        <v>35</v>
      </c>
      <c r="D105" s="569" t="s">
        <v>35</v>
      </c>
      <c r="E105" s="680" t="s">
        <v>35</v>
      </c>
      <c r="F105" s="569" t="s">
        <v>35</v>
      </c>
      <c r="G105" s="681" t="s">
        <v>35</v>
      </c>
      <c r="H105" s="607" t="s">
        <v>35</v>
      </c>
      <c r="I105" s="608" t="s">
        <v>35</v>
      </c>
      <c r="J105" s="609" t="s">
        <v>35</v>
      </c>
      <c r="K105" s="610" t="s">
        <v>35</v>
      </c>
    </row>
    <row r="106" spans="1:15" ht="15" customHeight="1" x14ac:dyDescent="0.2">
      <c r="A106" s="537" t="s">
        <v>434</v>
      </c>
      <c r="B106" s="490" t="s">
        <v>42</v>
      </c>
      <c r="C106" s="568" t="s">
        <v>35</v>
      </c>
      <c r="D106" s="618"/>
      <c r="E106" s="682"/>
      <c r="F106" s="618"/>
      <c r="G106" s="681" t="s">
        <v>35</v>
      </c>
      <c r="H106" s="683"/>
      <c r="I106" s="684"/>
      <c r="J106" s="685"/>
      <c r="K106" s="660">
        <f>ДОДАТОК_3!D4</f>
        <v>0</v>
      </c>
    </row>
    <row r="107" spans="1:15" ht="15" customHeight="1" x14ac:dyDescent="0.2">
      <c r="A107" s="537" t="s">
        <v>435</v>
      </c>
      <c r="B107" s="490" t="s">
        <v>42</v>
      </c>
      <c r="C107" s="568" t="s">
        <v>35</v>
      </c>
      <c r="D107" s="618"/>
      <c r="E107" s="682"/>
      <c r="F107" s="618"/>
      <c r="G107" s="681" t="s">
        <v>35</v>
      </c>
      <c r="H107" s="683"/>
      <c r="I107" s="684"/>
      <c r="J107" s="685"/>
      <c r="K107" s="660">
        <f>ДОДАТОК_3!D5</f>
        <v>0</v>
      </c>
    </row>
    <row r="108" spans="1:15" ht="15" customHeight="1" x14ac:dyDescent="0.2">
      <c r="A108" s="537" t="s">
        <v>311</v>
      </c>
      <c r="B108" s="490" t="s">
        <v>42</v>
      </c>
      <c r="C108" s="568" t="s">
        <v>35</v>
      </c>
      <c r="D108" s="618"/>
      <c r="E108" s="682"/>
      <c r="F108" s="618"/>
      <c r="G108" s="681" t="s">
        <v>35</v>
      </c>
      <c r="H108" s="683"/>
      <c r="I108" s="684"/>
      <c r="J108" s="685"/>
      <c r="K108" s="660">
        <f>ДОДАТОК_3!D6</f>
        <v>0</v>
      </c>
    </row>
    <row r="109" spans="1:15" ht="15" customHeight="1" x14ac:dyDescent="0.2">
      <c r="A109" s="537" t="s">
        <v>436</v>
      </c>
      <c r="B109" s="490" t="s">
        <v>42</v>
      </c>
      <c r="C109" s="568" t="s">
        <v>35</v>
      </c>
      <c r="D109" s="686">
        <v>7161.03</v>
      </c>
      <c r="E109" s="185">
        <v>7195.19</v>
      </c>
      <c r="F109" s="686">
        <v>3537.84</v>
      </c>
      <c r="G109" s="658">
        <f>ДОДАТОК_3!D7</f>
        <v>7082.5530037977678</v>
      </c>
      <c r="H109" s="686">
        <v>7161.03</v>
      </c>
      <c r="I109" s="381">
        <v>7195.19</v>
      </c>
      <c r="J109" s="685">
        <v>3537.84</v>
      </c>
      <c r="K109" s="660">
        <f>ДОДАТОК_3!D7</f>
        <v>7082.5530037977678</v>
      </c>
      <c r="M109" s="687"/>
      <c r="N109" s="687"/>
      <c r="O109" s="687"/>
    </row>
    <row r="110" spans="1:15" ht="15" customHeight="1" x14ac:dyDescent="0.2">
      <c r="A110" s="537" t="s">
        <v>44</v>
      </c>
      <c r="B110" s="490" t="s">
        <v>42</v>
      </c>
      <c r="C110" s="568" t="s">
        <v>35</v>
      </c>
      <c r="D110" s="686">
        <v>2564.02</v>
      </c>
      <c r="E110" s="185">
        <v>1820.48</v>
      </c>
      <c r="F110" s="686">
        <v>1955.35</v>
      </c>
      <c r="G110" s="658">
        <f>ДОДАТОК_3!D10</f>
        <v>1879.9999999999998</v>
      </c>
      <c r="H110" s="686">
        <v>2564.02</v>
      </c>
      <c r="I110" s="381">
        <v>1820.48</v>
      </c>
      <c r="J110" s="685">
        <v>1955.35</v>
      </c>
      <c r="K110" s="660">
        <f>ДОДАТОК_3!D10</f>
        <v>1879.9999999999998</v>
      </c>
      <c r="M110" s="687"/>
      <c r="N110" s="687"/>
      <c r="O110" s="687"/>
    </row>
    <row r="111" spans="1:15" ht="15" customHeight="1" x14ac:dyDescent="0.2">
      <c r="A111" s="537" t="s">
        <v>45</v>
      </c>
      <c r="B111" s="490" t="s">
        <v>42</v>
      </c>
      <c r="C111" s="568" t="s">
        <v>35</v>
      </c>
      <c r="D111" s="686">
        <v>8069.1</v>
      </c>
      <c r="E111" s="185">
        <v>9331.9599999999991</v>
      </c>
      <c r="F111" s="686">
        <v>9054.0300000000007</v>
      </c>
      <c r="G111" s="658">
        <f>ДОДАТОК_3!D13</f>
        <v>9353.0836734693876</v>
      </c>
      <c r="H111" s="686">
        <v>8069.1</v>
      </c>
      <c r="I111" s="381">
        <v>9331.9599999999991</v>
      </c>
      <c r="J111" s="685">
        <v>9054.0300000000007</v>
      </c>
      <c r="K111" s="660">
        <f>ДОДАТОК_3!D13</f>
        <v>9353.0836734693876</v>
      </c>
      <c r="M111" s="687"/>
      <c r="N111" s="687"/>
      <c r="O111" s="687"/>
    </row>
    <row r="112" spans="1:15" ht="15" customHeight="1" x14ac:dyDescent="0.2">
      <c r="A112" s="537" t="s">
        <v>437</v>
      </c>
      <c r="B112" s="490" t="s">
        <v>42</v>
      </c>
      <c r="C112" s="568" t="s">
        <v>35</v>
      </c>
      <c r="D112" s="618"/>
      <c r="E112" s="185"/>
      <c r="F112" s="618"/>
      <c r="G112" s="658">
        <f>ДОДАТОК_3!D14</f>
        <v>0</v>
      </c>
      <c r="H112" s="683"/>
      <c r="I112" s="684"/>
      <c r="J112" s="685"/>
      <c r="K112" s="660">
        <f>ДОДАТОК_3!D14</f>
        <v>0</v>
      </c>
      <c r="M112" s="687"/>
      <c r="N112" s="687"/>
    </row>
    <row r="113" spans="1:11" ht="15" customHeight="1" x14ac:dyDescent="0.2">
      <c r="A113" s="537" t="s">
        <v>46</v>
      </c>
      <c r="B113" s="490" t="s">
        <v>42</v>
      </c>
      <c r="C113" s="568" t="s">
        <v>35</v>
      </c>
      <c r="D113" s="618"/>
      <c r="E113" s="682"/>
      <c r="F113" s="618"/>
      <c r="G113" s="681" t="s">
        <v>35</v>
      </c>
      <c r="H113" s="683"/>
      <c r="I113" s="684"/>
      <c r="J113" s="685"/>
      <c r="K113" s="660">
        <f>ДОДАТОК_3!D10</f>
        <v>1879.9999999999998</v>
      </c>
    </row>
    <row r="114" spans="1:11" ht="15" customHeight="1" thickBot="1" x14ac:dyDescent="0.25">
      <c r="A114" s="644" t="s">
        <v>47</v>
      </c>
      <c r="B114" s="635" t="s">
        <v>42</v>
      </c>
      <c r="C114" s="645" t="s">
        <v>35</v>
      </c>
      <c r="D114" s="688"/>
      <c r="E114" s="689"/>
      <c r="F114" s="688"/>
      <c r="G114" s="690" t="s">
        <v>35</v>
      </c>
      <c r="H114" s="691"/>
      <c r="I114" s="692"/>
      <c r="J114" s="685"/>
      <c r="K114" s="665">
        <f>ДОДАТОК_3!D13</f>
        <v>9353.0836734693876</v>
      </c>
    </row>
    <row r="115" spans="1:11" ht="20.25" customHeight="1" thickBot="1" x14ac:dyDescent="0.25">
      <c r="A115" s="693" t="s">
        <v>48</v>
      </c>
      <c r="B115" s="694" t="s">
        <v>1</v>
      </c>
      <c r="C115" s="695">
        <f>ДОДАТОК_5!H46</f>
        <v>208263</v>
      </c>
      <c r="D115" s="696">
        <v>127467</v>
      </c>
      <c r="E115" s="186">
        <v>112505.5</v>
      </c>
      <c r="F115" s="696">
        <v>229812.7</v>
      </c>
      <c r="G115" s="697">
        <f>ROUND(C115*$G$7,1)</f>
        <v>207113</v>
      </c>
      <c r="H115" s="698">
        <v>1281</v>
      </c>
      <c r="I115" s="382">
        <v>817.8</v>
      </c>
      <c r="J115" s="699">
        <v>1835.3</v>
      </c>
      <c r="K115" s="700">
        <f>ROUND(C115*$K$7,1)</f>
        <v>1150</v>
      </c>
    </row>
    <row r="116" spans="1:11" ht="15" customHeight="1" x14ac:dyDescent="0.2">
      <c r="A116" s="597" t="s">
        <v>49</v>
      </c>
      <c r="B116" s="598"/>
      <c r="C116" s="559" t="s">
        <v>35</v>
      </c>
      <c r="D116" s="560" t="s">
        <v>35</v>
      </c>
      <c r="E116" s="701" t="s">
        <v>35</v>
      </c>
      <c r="F116" s="560" t="s">
        <v>35</v>
      </c>
      <c r="G116" s="702" t="s">
        <v>35</v>
      </c>
      <c r="H116" s="703" t="s">
        <v>35</v>
      </c>
      <c r="I116" s="704" t="s">
        <v>35</v>
      </c>
      <c r="J116" s="609" t="s">
        <v>35</v>
      </c>
      <c r="K116" s="705" t="s">
        <v>35</v>
      </c>
    </row>
    <row r="117" spans="1:11" ht="15" customHeight="1" x14ac:dyDescent="0.2">
      <c r="A117" s="537" t="s">
        <v>50</v>
      </c>
      <c r="B117" s="706"/>
      <c r="C117" s="568" t="s">
        <v>35</v>
      </c>
      <c r="D117" s="618"/>
      <c r="E117" s="682"/>
      <c r="F117" s="618"/>
      <c r="G117" s="681" t="s">
        <v>35</v>
      </c>
      <c r="H117" s="631"/>
      <c r="I117" s="377"/>
      <c r="J117" s="628"/>
      <c r="K117" s="616">
        <f>ДОДАТОК_3!D15/7000</f>
        <v>0</v>
      </c>
    </row>
    <row r="118" spans="1:11" ht="15" customHeight="1" x14ac:dyDescent="0.2">
      <c r="A118" s="537" t="s">
        <v>312</v>
      </c>
      <c r="B118" s="706"/>
      <c r="C118" s="568" t="s">
        <v>35</v>
      </c>
      <c r="D118" s="618"/>
      <c r="E118" s="682"/>
      <c r="F118" s="618"/>
      <c r="G118" s="681" t="s">
        <v>35</v>
      </c>
      <c r="H118" s="631"/>
      <c r="I118" s="377"/>
      <c r="J118" s="628"/>
      <c r="K118" s="616">
        <f>ДОДАТОК_3!D17/7000</f>
        <v>0</v>
      </c>
    </row>
    <row r="119" spans="1:11" ht="15" customHeight="1" x14ac:dyDescent="0.2">
      <c r="A119" s="537" t="s">
        <v>51</v>
      </c>
      <c r="B119" s="706"/>
      <c r="C119" s="568" t="s">
        <v>35</v>
      </c>
      <c r="D119" s="606">
        <v>1.167</v>
      </c>
      <c r="E119" s="182">
        <v>1.161</v>
      </c>
      <c r="F119" s="606">
        <v>1.169</v>
      </c>
      <c r="G119" s="707">
        <f>ДОДАТОК_3!D18/7000</f>
        <v>1.1691193923569909</v>
      </c>
      <c r="H119" s="631">
        <v>1.167</v>
      </c>
      <c r="I119" s="375">
        <v>1.1619299999999999</v>
      </c>
      <c r="J119" s="628">
        <v>1.169</v>
      </c>
      <c r="K119" s="616">
        <f>ДОДАТОК_3!D18/7000</f>
        <v>1.1691193923569909</v>
      </c>
    </row>
    <row r="120" spans="1:11" ht="15" customHeight="1" x14ac:dyDescent="0.2">
      <c r="A120" s="537" t="s">
        <v>52</v>
      </c>
      <c r="B120" s="706"/>
      <c r="C120" s="568" t="s">
        <v>35</v>
      </c>
      <c r="D120" s="606">
        <v>0.74199999999999999</v>
      </c>
      <c r="E120" s="182">
        <v>0.755</v>
      </c>
      <c r="F120" s="606">
        <v>0.71099999999999997</v>
      </c>
      <c r="G120" s="707">
        <f>ДОДАТОК_3!D19/7000</f>
        <v>0.74285694029792493</v>
      </c>
      <c r="H120" s="631">
        <v>0.74199999999999999</v>
      </c>
      <c r="I120" s="375">
        <v>0.75490000000000002</v>
      </c>
      <c r="J120" s="628">
        <v>0.71099999999999997</v>
      </c>
      <c r="K120" s="616">
        <f>ДОДАТОК_3!D19/7000</f>
        <v>0.74285694029792493</v>
      </c>
    </row>
    <row r="121" spans="1:11" ht="15" customHeight="1" x14ac:dyDescent="0.2">
      <c r="A121" s="537" t="s">
        <v>53</v>
      </c>
      <c r="B121" s="706"/>
      <c r="C121" s="568" t="s">
        <v>35</v>
      </c>
      <c r="D121" s="606">
        <v>1.419</v>
      </c>
      <c r="E121" s="182">
        <v>1.4019999999999999</v>
      </c>
      <c r="F121" s="606">
        <v>1.3979999999999999</v>
      </c>
      <c r="G121" s="707">
        <f>ДОДАТОК_3!D20/7000</f>
        <v>1.4000000000000004</v>
      </c>
      <c r="H121" s="631">
        <v>1.419</v>
      </c>
      <c r="I121" s="375">
        <v>1.3889</v>
      </c>
      <c r="J121" s="628">
        <v>1.3979999999999999</v>
      </c>
      <c r="K121" s="616">
        <f>ДОДАТОК_3!D20/7000</f>
        <v>1.4000000000000004</v>
      </c>
    </row>
    <row r="122" spans="1:11" ht="15" customHeight="1" x14ac:dyDescent="0.2">
      <c r="A122" s="537" t="s">
        <v>54</v>
      </c>
      <c r="B122" s="706"/>
      <c r="C122" s="568" t="s">
        <v>35</v>
      </c>
      <c r="D122" s="606"/>
      <c r="E122" s="182"/>
      <c r="F122" s="606"/>
      <c r="G122" s="707">
        <f>ДОДАТОК_3!D21/7000</f>
        <v>0</v>
      </c>
      <c r="H122" s="631"/>
      <c r="I122" s="375"/>
      <c r="J122" s="628"/>
      <c r="K122" s="616">
        <f>ДОДАТОК_3!D21/7000</f>
        <v>0</v>
      </c>
    </row>
    <row r="123" spans="1:11" ht="15" customHeight="1" x14ac:dyDescent="0.2">
      <c r="A123" s="537" t="s">
        <v>55</v>
      </c>
      <c r="B123" s="706"/>
      <c r="C123" s="568" t="s">
        <v>35</v>
      </c>
      <c r="D123" s="618"/>
      <c r="E123" s="682"/>
      <c r="F123" s="618"/>
      <c r="G123" s="681" t="s">
        <v>35</v>
      </c>
      <c r="H123" s="631"/>
      <c r="I123" s="377"/>
      <c r="J123" s="628"/>
      <c r="K123" s="616">
        <f>ДОДАТОК_3!D19/7000</f>
        <v>0.74285694029792493</v>
      </c>
    </row>
    <row r="124" spans="1:11" ht="15" customHeight="1" thickBot="1" x14ac:dyDescent="0.25">
      <c r="A124" s="644" t="s">
        <v>56</v>
      </c>
      <c r="B124" s="708"/>
      <c r="C124" s="645" t="s">
        <v>35</v>
      </c>
      <c r="D124" s="688"/>
      <c r="E124" s="689"/>
      <c r="F124" s="688"/>
      <c r="G124" s="690" t="s">
        <v>35</v>
      </c>
      <c r="H124" s="640"/>
      <c r="I124" s="379"/>
      <c r="J124" s="628"/>
      <c r="K124" s="633">
        <f>ДОДАТОК_3!D20/7000</f>
        <v>1.4000000000000004</v>
      </c>
    </row>
    <row r="125" spans="1:11" ht="27.75" customHeight="1" x14ac:dyDescent="0.2">
      <c r="A125" s="709" t="s">
        <v>57</v>
      </c>
      <c r="B125" s="525" t="s">
        <v>58</v>
      </c>
      <c r="C125" s="559" t="s">
        <v>35</v>
      </c>
      <c r="D125" s="710">
        <v>3600</v>
      </c>
      <c r="E125" s="711">
        <v>3600</v>
      </c>
      <c r="F125" s="710">
        <v>3600</v>
      </c>
      <c r="G125" s="188">
        <v>3600</v>
      </c>
      <c r="H125" s="187">
        <v>418.8</v>
      </c>
      <c r="I125" s="188">
        <v>418.8</v>
      </c>
      <c r="J125" s="383">
        <v>418.8</v>
      </c>
      <c r="K125" s="371">
        <v>418.8</v>
      </c>
    </row>
    <row r="126" spans="1:11" ht="15" customHeight="1" x14ac:dyDescent="0.2">
      <c r="A126" s="537" t="s">
        <v>23</v>
      </c>
      <c r="B126" s="712" t="s">
        <v>24</v>
      </c>
      <c r="C126" s="713">
        <v>1923</v>
      </c>
      <c r="D126" s="714">
        <f>1935-H126</f>
        <v>1920.5667902499999</v>
      </c>
      <c r="E126" s="715">
        <f>1955-I126</f>
        <v>1940.8900510000001</v>
      </c>
      <c r="F126" s="716">
        <f>1923-J126</f>
        <v>1907.746954688</v>
      </c>
      <c r="G126" s="717">
        <f>C126-K126</f>
        <v>1907.8</v>
      </c>
      <c r="H126" s="718">
        <v>14.43320975</v>
      </c>
      <c r="I126" s="719">
        <v>14.109949</v>
      </c>
      <c r="J126" s="720">
        <v>15.253045312000001</v>
      </c>
      <c r="K126" s="721">
        <v>15.2</v>
      </c>
    </row>
    <row r="127" spans="1:11" ht="20.25" customHeight="1" x14ac:dyDescent="0.2">
      <c r="A127" s="537" t="s">
        <v>68</v>
      </c>
      <c r="B127" s="490" t="s">
        <v>42</v>
      </c>
      <c r="C127" s="656">
        <f t="shared" ref="C127:K127" si="62">IF(C126=0,"",(C13+C19+C25)/C126/0.012)</f>
        <v>23006.110244409778</v>
      </c>
      <c r="D127" s="656">
        <f t="shared" si="62"/>
        <v>15459.932705317866</v>
      </c>
      <c r="E127" s="656">
        <f t="shared" si="62"/>
        <v>13533.000827704622</v>
      </c>
      <c r="F127" s="656">
        <f t="shared" si="62"/>
        <v>19001.048109441217</v>
      </c>
      <c r="G127" s="656">
        <f t="shared" si="62"/>
        <v>23006.110878149353</v>
      </c>
      <c r="H127" s="656">
        <f t="shared" si="62"/>
        <v>15462.026155801323</v>
      </c>
      <c r="I127" s="656">
        <f t="shared" si="62"/>
        <v>13533.004265288271</v>
      </c>
      <c r="J127" s="722">
        <f t="shared" si="62"/>
        <v>19005.494361090023</v>
      </c>
      <c r="K127" s="656">
        <f t="shared" si="62"/>
        <v>23006.030701754389</v>
      </c>
    </row>
    <row r="128" spans="1:11" ht="14.25" customHeight="1" x14ac:dyDescent="0.2">
      <c r="A128" s="537" t="s">
        <v>69</v>
      </c>
      <c r="B128" s="490" t="s">
        <v>22</v>
      </c>
      <c r="C128" s="723">
        <f t="shared" ref="C128:K128" si="63">IF(C13+C19=0,"",C19/(C13+C19))</f>
        <v>5.7621664288533353E-2</v>
      </c>
      <c r="D128" s="724">
        <f t="shared" si="63"/>
        <v>8.0254375065157549E-2</v>
      </c>
      <c r="E128" s="725">
        <f t="shared" si="63"/>
        <v>5.933415991735852E-2</v>
      </c>
      <c r="F128" s="724">
        <f t="shared" ref="F128" si="64">IF(F13+F19=0,"",F19/(F13+F19))</f>
        <v>8.1207060346292825E-2</v>
      </c>
      <c r="G128" s="723">
        <f t="shared" si="63"/>
        <v>5.76058041297468E-2</v>
      </c>
      <c r="H128" s="724">
        <f t="shared" si="63"/>
        <v>8.0209895052473765E-2</v>
      </c>
      <c r="I128" s="723">
        <f t="shared" si="63"/>
        <v>5.9352361002007505E-2</v>
      </c>
      <c r="J128" s="726">
        <f t="shared" ref="J128" si="65">IF(J13+J19=0,"",J19/(J13+J19))</f>
        <v>8.1220779975026858E-2</v>
      </c>
      <c r="K128" s="727">
        <f t="shared" si="63"/>
        <v>5.9610909875980521E-2</v>
      </c>
    </row>
    <row r="129" spans="1:11" ht="27" customHeight="1" thickBot="1" x14ac:dyDescent="0.25">
      <c r="A129" s="644" t="s">
        <v>59</v>
      </c>
      <c r="B129" s="635" t="s">
        <v>77</v>
      </c>
      <c r="C129" s="728">
        <f>+ДОДАТОК_4!H26+ДОДАТОК_4!H35+ДОДАТОК_4!H39+ДОДАТОК_4!H78+ДОДАТОК_4!H82+ДОДАТОК_4!H83</f>
        <v>464046</v>
      </c>
      <c r="D129" s="729">
        <f>21785+229266+D14+D20</f>
        <v>333928</v>
      </c>
      <c r="E129" s="729">
        <f>319740.6+E14+E20</f>
        <v>389083</v>
      </c>
      <c r="F129" s="729">
        <f>20682+214043+2510+221+F14+F20</f>
        <v>345555</v>
      </c>
      <c r="G129" s="730">
        <f>ROUND((C129-ДОДАТОК_4!H82-ДОДАТОК_4!H83)*$G$7,1)+ДОДАТОК_4!H82</f>
        <v>461483.5</v>
      </c>
      <c r="H129" s="731">
        <f>157+1579+H14+H20</f>
        <v>2397</v>
      </c>
      <c r="I129" s="732">
        <f>2324.1+I14+I20</f>
        <v>2828.2</v>
      </c>
      <c r="J129" s="648">
        <f>165+1709+20+2+J14+J20</f>
        <v>2759</v>
      </c>
      <c r="K129" s="733">
        <f>ROUND((C129-ДОДАТОК_4!H82-ДОДАТОК_4!H83)*$K$7,1)+ДОДАТОК_4!H83</f>
        <v>2562.5</v>
      </c>
    </row>
    <row r="130" spans="1:11" ht="27" customHeight="1" x14ac:dyDescent="0.2">
      <c r="A130" s="734"/>
      <c r="B130" s="735"/>
      <c r="C130" s="736"/>
      <c r="D130" s="737"/>
      <c r="E130" s="737"/>
      <c r="F130" s="737"/>
      <c r="G130" s="738"/>
      <c r="H130" s="737"/>
      <c r="I130" s="737"/>
      <c r="J130" s="737"/>
      <c r="K130" s="738"/>
    </row>
    <row r="131" spans="1:11" ht="26.25" customHeight="1" x14ac:dyDescent="0.2">
      <c r="D131" s="739"/>
      <c r="E131" s="739"/>
      <c r="F131" s="739"/>
      <c r="G131" s="739"/>
      <c r="H131" s="739"/>
      <c r="I131" s="739"/>
      <c r="J131" s="739"/>
    </row>
    <row r="132" spans="1:11" ht="12.75" customHeight="1" x14ac:dyDescent="0.2">
      <c r="A132" s="771" t="s">
        <v>358</v>
      </c>
      <c r="B132" s="740"/>
      <c r="C132" s="741"/>
      <c r="D132" s="443"/>
      <c r="E132" s="443"/>
      <c r="F132" s="772" t="s">
        <v>359</v>
      </c>
      <c r="G132" s="772"/>
      <c r="H132" s="443"/>
    </row>
    <row r="133" spans="1:11" ht="14.25" customHeight="1" x14ac:dyDescent="0.2">
      <c r="A133" s="771"/>
      <c r="B133" s="773" t="s">
        <v>25</v>
      </c>
      <c r="C133" s="773"/>
      <c r="D133" s="742" t="s">
        <v>26</v>
      </c>
      <c r="E133" s="743"/>
      <c r="F133" s="773" t="s">
        <v>27</v>
      </c>
      <c r="G133" s="773"/>
      <c r="H133" s="443"/>
    </row>
    <row r="134" spans="1:11" ht="14.25" customHeight="1" x14ac:dyDescent="0.2">
      <c r="A134" s="744"/>
      <c r="B134" s="745"/>
      <c r="C134" s="745"/>
      <c r="D134" s="742"/>
      <c r="E134" s="743"/>
      <c r="F134" s="745"/>
      <c r="G134" s="745"/>
      <c r="H134" s="443"/>
    </row>
    <row r="135" spans="1:11" ht="18.75" customHeight="1" x14ac:dyDescent="0.2">
      <c r="A135" s="744"/>
      <c r="B135" s="745"/>
      <c r="C135" s="745"/>
      <c r="D135" s="742"/>
      <c r="E135" s="742"/>
      <c r="F135" s="745"/>
      <c r="G135" s="745"/>
      <c r="H135" s="443"/>
    </row>
    <row r="136" spans="1:11" ht="22.5" customHeight="1" x14ac:dyDescent="0.2">
      <c r="A136" s="744" t="s">
        <v>376</v>
      </c>
      <c r="B136" s="740"/>
      <c r="C136" s="741"/>
      <c r="D136" s="443"/>
      <c r="E136" s="443"/>
      <c r="F136" s="772" t="s">
        <v>377</v>
      </c>
      <c r="G136" s="772"/>
      <c r="H136" s="443"/>
    </row>
    <row r="137" spans="1:11" ht="15.75" x14ac:dyDescent="0.2">
      <c r="A137" s="744"/>
      <c r="B137" s="773" t="s">
        <v>25</v>
      </c>
      <c r="C137" s="773"/>
      <c r="D137" s="742"/>
      <c r="E137" s="743"/>
      <c r="F137" s="773" t="s">
        <v>27</v>
      </c>
      <c r="G137" s="773"/>
      <c r="H137" s="443"/>
    </row>
    <row r="138" spans="1:11" ht="18" customHeight="1" x14ac:dyDescent="0.25">
      <c r="A138" s="746" t="s">
        <v>438</v>
      </c>
      <c r="B138" s="788" t="s">
        <v>439</v>
      </c>
      <c r="C138" s="788"/>
      <c r="D138" s="747"/>
      <c r="E138" s="747"/>
      <c r="F138" s="788" t="s">
        <v>440</v>
      </c>
      <c r="G138" s="788"/>
      <c r="H138" s="788"/>
      <c r="I138" s="789"/>
    </row>
    <row r="140" spans="1:11" x14ac:dyDescent="0.2">
      <c r="A140" s="748"/>
      <c r="B140" s="423"/>
    </row>
    <row r="141" spans="1:11" ht="40.5" hidden="1" customHeight="1" x14ac:dyDescent="0.2">
      <c r="A141" s="748"/>
      <c r="B141" s="423"/>
    </row>
    <row r="142" spans="1:11" hidden="1" x14ac:dyDescent="0.2">
      <c r="A142" s="748"/>
      <c r="B142" s="423"/>
      <c r="D142" s="749">
        <f>D13+D19</f>
        <v>354909</v>
      </c>
      <c r="E142" s="749">
        <f t="shared" ref="E142:K142" si="66">E13+E19</f>
        <v>315192.8</v>
      </c>
      <c r="F142" s="749">
        <f t="shared" si="66"/>
        <v>431259.3</v>
      </c>
      <c r="G142" s="749">
        <f t="shared" si="66"/>
        <v>522855.3</v>
      </c>
      <c r="H142" s="749">
        <f t="shared" si="66"/>
        <v>2668</v>
      </c>
      <c r="I142" s="749">
        <f t="shared" si="66"/>
        <v>2291.4</v>
      </c>
      <c r="J142" s="749">
        <f t="shared" si="66"/>
        <v>3443.7</v>
      </c>
      <c r="K142" s="749">
        <f t="shared" si="66"/>
        <v>4168.7</v>
      </c>
    </row>
    <row r="143" spans="1:11" hidden="1" x14ac:dyDescent="0.2">
      <c r="A143" s="748"/>
      <c r="B143" s="423"/>
      <c r="D143" s="750" t="e">
        <f>D142/12/#REF!*1000</f>
        <v>#REF!</v>
      </c>
      <c r="E143" s="750" t="e">
        <f>E142/12/#REF!*1000</f>
        <v>#REF!</v>
      </c>
      <c r="F143" s="750" t="e">
        <f>F142/12/#REF!*1000</f>
        <v>#REF!</v>
      </c>
      <c r="G143" s="750">
        <f>G142/12/C127*1000</f>
        <v>1893.9001220594137</v>
      </c>
      <c r="H143" s="750" t="e">
        <f>H142/12/#REF!*1000</f>
        <v>#REF!</v>
      </c>
      <c r="I143" s="750" t="e">
        <f>I142/12/#REF!*1000</f>
        <v>#REF!</v>
      </c>
      <c r="J143" s="750" t="e">
        <f>J142/12/#REF!*1000</f>
        <v>#REF!</v>
      </c>
      <c r="K143" s="750">
        <f>K142/12/C127*1000</f>
        <v>15.099974005865631</v>
      </c>
    </row>
    <row r="144" spans="1:11" hidden="1" x14ac:dyDescent="0.2">
      <c r="A144" s="748"/>
      <c r="B144" s="423"/>
      <c r="D144" s="751" t="e">
        <f>D142/D143/12*1000</f>
        <v>#REF!</v>
      </c>
      <c r="E144" s="751" t="e">
        <f>E142/E143/12*1000</f>
        <v>#REF!</v>
      </c>
      <c r="F144" s="751" t="e">
        <f t="shared" ref="F144:K144" si="67">F142/F143/12*1000</f>
        <v>#REF!</v>
      </c>
      <c r="G144" s="751">
        <f t="shared" si="67"/>
        <v>23006.110244409771</v>
      </c>
      <c r="H144" s="751" t="e">
        <f t="shared" si="67"/>
        <v>#REF!</v>
      </c>
      <c r="I144" s="751" t="e">
        <f t="shared" si="67"/>
        <v>#REF!</v>
      </c>
      <c r="J144" s="751" t="e">
        <f t="shared" si="67"/>
        <v>#REF!</v>
      </c>
      <c r="K144" s="751">
        <f t="shared" si="67"/>
        <v>23006.110244409778</v>
      </c>
    </row>
    <row r="145" spans="1:11" hidden="1" x14ac:dyDescent="0.2">
      <c r="A145" s="748"/>
      <c r="B145" s="423"/>
      <c r="D145" s="752"/>
      <c r="E145" s="752"/>
      <c r="F145" s="752"/>
      <c r="G145" s="752"/>
      <c r="H145" s="752"/>
      <c r="I145" s="752"/>
      <c r="J145" s="752"/>
      <c r="K145" s="752"/>
    </row>
    <row r="146" spans="1:11" hidden="1" x14ac:dyDescent="0.2">
      <c r="A146" s="748"/>
      <c r="B146" s="423"/>
      <c r="D146" s="752">
        <v>1972.6352910268856</v>
      </c>
      <c r="E146" s="752">
        <v>2407.0002323313038</v>
      </c>
      <c r="F146" s="752">
        <v>1940.6884805165362</v>
      </c>
      <c r="G146" s="752">
        <v>1944.8030496832644</v>
      </c>
      <c r="H146" s="752">
        <v>14.364708973113963</v>
      </c>
      <c r="I146" s="752">
        <v>17.999767668695558</v>
      </c>
      <c r="J146" s="752">
        <v>14.31151948346416</v>
      </c>
      <c r="K146" s="752">
        <v>10.196950316736004</v>
      </c>
    </row>
    <row r="147" spans="1:11" hidden="1" x14ac:dyDescent="0.2">
      <c r="A147" s="748"/>
      <c r="B147" s="423"/>
    </row>
    <row r="148" spans="1:11" hidden="1" x14ac:dyDescent="0.2">
      <c r="A148" s="748"/>
      <c r="B148" s="423"/>
    </row>
    <row r="149" spans="1:11" x14ac:dyDescent="0.2">
      <c r="A149" s="748"/>
      <c r="B149" s="423"/>
    </row>
    <row r="150" spans="1:11" x14ac:dyDescent="0.2">
      <c r="A150" s="748"/>
      <c r="B150" s="423"/>
    </row>
    <row r="151" spans="1:11" x14ac:dyDescent="0.2">
      <c r="A151" s="748"/>
      <c r="B151" s="423"/>
    </row>
    <row r="152" spans="1:11" x14ac:dyDescent="0.2">
      <c r="A152" s="748"/>
      <c r="B152" s="423"/>
    </row>
    <row r="153" spans="1:11" x14ac:dyDescent="0.2">
      <c r="A153" s="748"/>
      <c r="B153" s="423"/>
    </row>
    <row r="154" spans="1:11" x14ac:dyDescent="0.2">
      <c r="A154" s="748"/>
      <c r="B154" s="423"/>
    </row>
    <row r="155" spans="1:11" x14ac:dyDescent="0.2">
      <c r="A155" s="748"/>
      <c r="B155" s="423"/>
    </row>
    <row r="156" spans="1:11" x14ac:dyDescent="0.2">
      <c r="A156" s="748"/>
      <c r="B156" s="423"/>
    </row>
    <row r="157" spans="1:11" x14ac:dyDescent="0.2">
      <c r="A157" s="748"/>
      <c r="B157" s="423"/>
    </row>
    <row r="158" spans="1:11" x14ac:dyDescent="0.2">
      <c r="A158" s="748"/>
      <c r="B158" s="423"/>
    </row>
    <row r="159" spans="1:11" x14ac:dyDescent="0.2">
      <c r="A159" s="748"/>
      <c r="B159" s="423"/>
    </row>
    <row r="160" spans="1:11" x14ac:dyDescent="0.2">
      <c r="A160" s="748"/>
      <c r="B160" s="423"/>
    </row>
    <row r="161" spans="1:2" x14ac:dyDescent="0.2">
      <c r="A161" s="748"/>
      <c r="B161" s="423"/>
    </row>
    <row r="162" spans="1:2" x14ac:dyDescent="0.2">
      <c r="A162" s="748"/>
      <c r="B162" s="423"/>
    </row>
    <row r="163" spans="1:2" x14ac:dyDescent="0.2">
      <c r="A163" s="748"/>
      <c r="B163" s="423"/>
    </row>
    <row r="164" spans="1:2" x14ac:dyDescent="0.2">
      <c r="A164" s="748"/>
      <c r="B164" s="423"/>
    </row>
  </sheetData>
  <mergeCells count="22">
    <mergeCell ref="B137:C137"/>
    <mergeCell ref="F137:G137"/>
    <mergeCell ref="B138:C138"/>
    <mergeCell ref="F138:I138"/>
    <mergeCell ref="H5:H6"/>
    <mergeCell ref="I5:J5"/>
    <mergeCell ref="F136:G136"/>
    <mergeCell ref="A132:A133"/>
    <mergeCell ref="F132:G132"/>
    <mergeCell ref="B133:C133"/>
    <mergeCell ref="F133:G133"/>
    <mergeCell ref="A2:K2"/>
    <mergeCell ref="A3:K3"/>
    <mergeCell ref="A4:A6"/>
    <mergeCell ref="B4:B6"/>
    <mergeCell ref="C4:C6"/>
    <mergeCell ref="D4:G4"/>
    <mergeCell ref="H4:K4"/>
    <mergeCell ref="D5:D6"/>
    <mergeCell ref="E5:F5"/>
    <mergeCell ref="G5:G6"/>
    <mergeCell ref="K5:K6"/>
  </mergeCells>
  <pageMargins left="0.7" right="0.7" top="0.75" bottom="0.75" header="0.3" footer="0.3"/>
  <pageSetup paperSize="9" scale="70" fitToWidth="0"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indexed="49"/>
    <pageSetUpPr fitToPage="1"/>
  </sheetPr>
  <dimension ref="A1:R154"/>
  <sheetViews>
    <sheetView zoomScale="90" zoomScaleNormal="90" workbookViewId="0">
      <pane ySplit="3" topLeftCell="A85" activePane="bottomLeft" state="frozen"/>
      <selection pane="bottomLeft" activeCell="B102" sqref="B102:B107"/>
    </sheetView>
  </sheetViews>
  <sheetFormatPr defaultRowHeight="12.75" x14ac:dyDescent="0.2"/>
  <cols>
    <col min="1" max="1" width="7.7109375" style="105" customWidth="1"/>
    <col min="2" max="2" width="61.5703125" style="111" customWidth="1"/>
    <col min="3" max="3" width="11.7109375" style="102" customWidth="1"/>
    <col min="4" max="4" width="18.7109375" style="112" customWidth="1"/>
    <col min="5" max="5" width="11.140625" style="105" customWidth="1"/>
    <col min="6" max="6" width="8.85546875" style="105" customWidth="1"/>
    <col min="7" max="14" width="9" style="105" customWidth="1"/>
    <col min="15" max="15" width="8.7109375" style="105" customWidth="1"/>
    <col min="16" max="16" width="9" style="105" customWidth="1"/>
    <col min="17" max="17" width="9.140625" style="352" customWidth="1"/>
    <col min="18" max="19" width="9.140625" style="105" customWidth="1"/>
    <col min="20" max="255" width="9.140625" style="105"/>
    <col min="256" max="256" width="7.7109375" style="105" customWidth="1"/>
    <col min="257" max="257" width="58" style="105" customWidth="1"/>
    <col min="258" max="258" width="11.7109375" style="105" customWidth="1"/>
    <col min="259" max="259" width="18.7109375" style="105" customWidth="1"/>
    <col min="260" max="261" width="8.85546875" style="105" customWidth="1"/>
    <col min="262" max="269" width="9" style="105" customWidth="1"/>
    <col min="270" max="270" width="8.7109375" style="105" customWidth="1"/>
    <col min="271" max="271" width="9" style="105" customWidth="1"/>
    <col min="272" max="511" width="9.140625" style="105"/>
    <col min="512" max="512" width="7.7109375" style="105" customWidth="1"/>
    <col min="513" max="513" width="58" style="105" customWidth="1"/>
    <col min="514" max="514" width="11.7109375" style="105" customWidth="1"/>
    <col min="515" max="515" width="18.7109375" style="105" customWidth="1"/>
    <col min="516" max="517" width="8.85546875" style="105" customWidth="1"/>
    <col min="518" max="525" width="9" style="105" customWidth="1"/>
    <col min="526" max="526" width="8.7109375" style="105" customWidth="1"/>
    <col min="527" max="527" width="9" style="105" customWidth="1"/>
    <col min="528" max="767" width="9.140625" style="105"/>
    <col min="768" max="768" width="7.7109375" style="105" customWidth="1"/>
    <col min="769" max="769" width="58" style="105" customWidth="1"/>
    <col min="770" max="770" width="11.7109375" style="105" customWidth="1"/>
    <col min="771" max="771" width="18.7109375" style="105" customWidth="1"/>
    <col min="772" max="773" width="8.85546875" style="105" customWidth="1"/>
    <col min="774" max="781" width="9" style="105" customWidth="1"/>
    <col min="782" max="782" width="8.7109375" style="105" customWidth="1"/>
    <col min="783" max="783" width="9" style="105" customWidth="1"/>
    <col min="784" max="1023" width="9.140625" style="105"/>
    <col min="1024" max="1024" width="7.7109375" style="105" customWidth="1"/>
    <col min="1025" max="1025" width="58" style="105" customWidth="1"/>
    <col min="1026" max="1026" width="11.7109375" style="105" customWidth="1"/>
    <col min="1027" max="1027" width="18.7109375" style="105" customWidth="1"/>
    <col min="1028" max="1029" width="8.85546875" style="105" customWidth="1"/>
    <col min="1030" max="1037" width="9" style="105" customWidth="1"/>
    <col min="1038" max="1038" width="8.7109375" style="105" customWidth="1"/>
    <col min="1039" max="1039" width="9" style="105" customWidth="1"/>
    <col min="1040" max="1279" width="9.140625" style="105"/>
    <col min="1280" max="1280" width="7.7109375" style="105" customWidth="1"/>
    <col min="1281" max="1281" width="58" style="105" customWidth="1"/>
    <col min="1282" max="1282" width="11.7109375" style="105" customWidth="1"/>
    <col min="1283" max="1283" width="18.7109375" style="105" customWidth="1"/>
    <col min="1284" max="1285" width="8.85546875" style="105" customWidth="1"/>
    <col min="1286" max="1293" width="9" style="105" customWidth="1"/>
    <col min="1294" max="1294" width="8.7109375" style="105" customWidth="1"/>
    <col min="1295" max="1295" width="9" style="105" customWidth="1"/>
    <col min="1296" max="1535" width="9.140625" style="105"/>
    <col min="1536" max="1536" width="7.7109375" style="105" customWidth="1"/>
    <col min="1537" max="1537" width="58" style="105" customWidth="1"/>
    <col min="1538" max="1538" width="11.7109375" style="105" customWidth="1"/>
    <col min="1539" max="1539" width="18.7109375" style="105" customWidth="1"/>
    <col min="1540" max="1541" width="8.85546875" style="105" customWidth="1"/>
    <col min="1542" max="1549" width="9" style="105" customWidth="1"/>
    <col min="1550" max="1550" width="8.7109375" style="105" customWidth="1"/>
    <col min="1551" max="1551" width="9" style="105" customWidth="1"/>
    <col min="1552" max="1791" width="9.140625" style="105"/>
    <col min="1792" max="1792" width="7.7109375" style="105" customWidth="1"/>
    <col min="1793" max="1793" width="58" style="105" customWidth="1"/>
    <col min="1794" max="1794" width="11.7109375" style="105" customWidth="1"/>
    <col min="1795" max="1795" width="18.7109375" style="105" customWidth="1"/>
    <col min="1796" max="1797" width="8.85546875" style="105" customWidth="1"/>
    <col min="1798" max="1805" width="9" style="105" customWidth="1"/>
    <col min="1806" max="1806" width="8.7109375" style="105" customWidth="1"/>
    <col min="1807" max="1807" width="9" style="105" customWidth="1"/>
    <col min="1808" max="2047" width="9.140625" style="105"/>
    <col min="2048" max="2048" width="7.7109375" style="105" customWidth="1"/>
    <col min="2049" max="2049" width="58" style="105" customWidth="1"/>
    <col min="2050" max="2050" width="11.7109375" style="105" customWidth="1"/>
    <col min="2051" max="2051" width="18.7109375" style="105" customWidth="1"/>
    <col min="2052" max="2053" width="8.85546875" style="105" customWidth="1"/>
    <col min="2054" max="2061" width="9" style="105" customWidth="1"/>
    <col min="2062" max="2062" width="8.7109375" style="105" customWidth="1"/>
    <col min="2063" max="2063" width="9" style="105" customWidth="1"/>
    <col min="2064" max="2303" width="9.140625" style="105"/>
    <col min="2304" max="2304" width="7.7109375" style="105" customWidth="1"/>
    <col min="2305" max="2305" width="58" style="105" customWidth="1"/>
    <col min="2306" max="2306" width="11.7109375" style="105" customWidth="1"/>
    <col min="2307" max="2307" width="18.7109375" style="105" customWidth="1"/>
    <col min="2308" max="2309" width="8.85546875" style="105" customWidth="1"/>
    <col min="2310" max="2317" width="9" style="105" customWidth="1"/>
    <col min="2318" max="2318" width="8.7109375" style="105" customWidth="1"/>
    <col min="2319" max="2319" width="9" style="105" customWidth="1"/>
    <col min="2320" max="2559" width="9.140625" style="105"/>
    <col min="2560" max="2560" width="7.7109375" style="105" customWidth="1"/>
    <col min="2561" max="2561" width="58" style="105" customWidth="1"/>
    <col min="2562" max="2562" width="11.7109375" style="105" customWidth="1"/>
    <col min="2563" max="2563" width="18.7109375" style="105" customWidth="1"/>
    <col min="2564" max="2565" width="8.85546875" style="105" customWidth="1"/>
    <col min="2566" max="2573" width="9" style="105" customWidth="1"/>
    <col min="2574" max="2574" width="8.7109375" style="105" customWidth="1"/>
    <col min="2575" max="2575" width="9" style="105" customWidth="1"/>
    <col min="2576" max="2815" width="9.140625" style="105"/>
    <col min="2816" max="2816" width="7.7109375" style="105" customWidth="1"/>
    <col min="2817" max="2817" width="58" style="105" customWidth="1"/>
    <col min="2818" max="2818" width="11.7109375" style="105" customWidth="1"/>
    <col min="2819" max="2819" width="18.7109375" style="105" customWidth="1"/>
    <col min="2820" max="2821" width="8.85546875" style="105" customWidth="1"/>
    <col min="2822" max="2829" width="9" style="105" customWidth="1"/>
    <col min="2830" max="2830" width="8.7109375" style="105" customWidth="1"/>
    <col min="2831" max="2831" width="9" style="105" customWidth="1"/>
    <col min="2832" max="3071" width="9.140625" style="105"/>
    <col min="3072" max="3072" width="7.7109375" style="105" customWidth="1"/>
    <col min="3073" max="3073" width="58" style="105" customWidth="1"/>
    <col min="3074" max="3074" width="11.7109375" style="105" customWidth="1"/>
    <col min="3075" max="3075" width="18.7109375" style="105" customWidth="1"/>
    <col min="3076" max="3077" width="8.85546875" style="105" customWidth="1"/>
    <col min="3078" max="3085" width="9" style="105" customWidth="1"/>
    <col min="3086" max="3086" width="8.7109375" style="105" customWidth="1"/>
    <col min="3087" max="3087" width="9" style="105" customWidth="1"/>
    <col min="3088" max="3327" width="9.140625" style="105"/>
    <col min="3328" max="3328" width="7.7109375" style="105" customWidth="1"/>
    <col min="3329" max="3329" width="58" style="105" customWidth="1"/>
    <col min="3330" max="3330" width="11.7109375" style="105" customWidth="1"/>
    <col min="3331" max="3331" width="18.7109375" style="105" customWidth="1"/>
    <col min="3332" max="3333" width="8.85546875" style="105" customWidth="1"/>
    <col min="3334" max="3341" width="9" style="105" customWidth="1"/>
    <col min="3342" max="3342" width="8.7109375" style="105" customWidth="1"/>
    <col min="3343" max="3343" width="9" style="105" customWidth="1"/>
    <col min="3344" max="3583" width="9.140625" style="105"/>
    <col min="3584" max="3584" width="7.7109375" style="105" customWidth="1"/>
    <col min="3585" max="3585" width="58" style="105" customWidth="1"/>
    <col min="3586" max="3586" width="11.7109375" style="105" customWidth="1"/>
    <col min="3587" max="3587" width="18.7109375" style="105" customWidth="1"/>
    <col min="3588" max="3589" width="8.85546875" style="105" customWidth="1"/>
    <col min="3590" max="3597" width="9" style="105" customWidth="1"/>
    <col min="3598" max="3598" width="8.7109375" style="105" customWidth="1"/>
    <col min="3599" max="3599" width="9" style="105" customWidth="1"/>
    <col min="3600" max="3839" width="9.140625" style="105"/>
    <col min="3840" max="3840" width="7.7109375" style="105" customWidth="1"/>
    <col min="3841" max="3841" width="58" style="105" customWidth="1"/>
    <col min="3842" max="3842" width="11.7109375" style="105" customWidth="1"/>
    <col min="3843" max="3843" width="18.7109375" style="105" customWidth="1"/>
    <col min="3844" max="3845" width="8.85546875" style="105" customWidth="1"/>
    <col min="3846" max="3853" width="9" style="105" customWidth="1"/>
    <col min="3854" max="3854" width="8.7109375" style="105" customWidth="1"/>
    <col min="3855" max="3855" width="9" style="105" customWidth="1"/>
    <col min="3856" max="4095" width="9.140625" style="105"/>
    <col min="4096" max="4096" width="7.7109375" style="105" customWidth="1"/>
    <col min="4097" max="4097" width="58" style="105" customWidth="1"/>
    <col min="4098" max="4098" width="11.7109375" style="105" customWidth="1"/>
    <col min="4099" max="4099" width="18.7109375" style="105" customWidth="1"/>
    <col min="4100" max="4101" width="8.85546875" style="105" customWidth="1"/>
    <col min="4102" max="4109" width="9" style="105" customWidth="1"/>
    <col min="4110" max="4110" width="8.7109375" style="105" customWidth="1"/>
    <col min="4111" max="4111" width="9" style="105" customWidth="1"/>
    <col min="4112" max="4351" width="9.140625" style="105"/>
    <col min="4352" max="4352" width="7.7109375" style="105" customWidth="1"/>
    <col min="4353" max="4353" width="58" style="105" customWidth="1"/>
    <col min="4354" max="4354" width="11.7109375" style="105" customWidth="1"/>
    <col min="4355" max="4355" width="18.7109375" style="105" customWidth="1"/>
    <col min="4356" max="4357" width="8.85546875" style="105" customWidth="1"/>
    <col min="4358" max="4365" width="9" style="105" customWidth="1"/>
    <col min="4366" max="4366" width="8.7109375" style="105" customWidth="1"/>
    <col min="4367" max="4367" width="9" style="105" customWidth="1"/>
    <col min="4368" max="4607" width="9.140625" style="105"/>
    <col min="4608" max="4608" width="7.7109375" style="105" customWidth="1"/>
    <col min="4609" max="4609" width="58" style="105" customWidth="1"/>
    <col min="4610" max="4610" width="11.7109375" style="105" customWidth="1"/>
    <col min="4611" max="4611" width="18.7109375" style="105" customWidth="1"/>
    <col min="4612" max="4613" width="8.85546875" style="105" customWidth="1"/>
    <col min="4614" max="4621" width="9" style="105" customWidth="1"/>
    <col min="4622" max="4622" width="8.7109375" style="105" customWidth="1"/>
    <col min="4623" max="4623" width="9" style="105" customWidth="1"/>
    <col min="4624" max="4863" width="9.140625" style="105"/>
    <col min="4864" max="4864" width="7.7109375" style="105" customWidth="1"/>
    <col min="4865" max="4865" width="58" style="105" customWidth="1"/>
    <col min="4866" max="4866" width="11.7109375" style="105" customWidth="1"/>
    <col min="4867" max="4867" width="18.7109375" style="105" customWidth="1"/>
    <col min="4868" max="4869" width="8.85546875" style="105" customWidth="1"/>
    <col min="4870" max="4877" width="9" style="105" customWidth="1"/>
    <col min="4878" max="4878" width="8.7109375" style="105" customWidth="1"/>
    <col min="4879" max="4879" width="9" style="105" customWidth="1"/>
    <col min="4880" max="5119" width="9.140625" style="105"/>
    <col min="5120" max="5120" width="7.7109375" style="105" customWidth="1"/>
    <col min="5121" max="5121" width="58" style="105" customWidth="1"/>
    <col min="5122" max="5122" width="11.7109375" style="105" customWidth="1"/>
    <col min="5123" max="5123" width="18.7109375" style="105" customWidth="1"/>
    <col min="5124" max="5125" width="8.85546875" style="105" customWidth="1"/>
    <col min="5126" max="5133" width="9" style="105" customWidth="1"/>
    <col min="5134" max="5134" width="8.7109375" style="105" customWidth="1"/>
    <col min="5135" max="5135" width="9" style="105" customWidth="1"/>
    <col min="5136" max="5375" width="9.140625" style="105"/>
    <col min="5376" max="5376" width="7.7109375" style="105" customWidth="1"/>
    <col min="5377" max="5377" width="58" style="105" customWidth="1"/>
    <col min="5378" max="5378" width="11.7109375" style="105" customWidth="1"/>
    <col min="5379" max="5379" width="18.7109375" style="105" customWidth="1"/>
    <col min="5380" max="5381" width="8.85546875" style="105" customWidth="1"/>
    <col min="5382" max="5389" width="9" style="105" customWidth="1"/>
    <col min="5390" max="5390" width="8.7109375" style="105" customWidth="1"/>
    <col min="5391" max="5391" width="9" style="105" customWidth="1"/>
    <col min="5392" max="5631" width="9.140625" style="105"/>
    <col min="5632" max="5632" width="7.7109375" style="105" customWidth="1"/>
    <col min="5633" max="5633" width="58" style="105" customWidth="1"/>
    <col min="5634" max="5634" width="11.7109375" style="105" customWidth="1"/>
    <col min="5635" max="5635" width="18.7109375" style="105" customWidth="1"/>
    <col min="5636" max="5637" width="8.85546875" style="105" customWidth="1"/>
    <col min="5638" max="5645" width="9" style="105" customWidth="1"/>
    <col min="5646" max="5646" width="8.7109375" style="105" customWidth="1"/>
    <col min="5647" max="5647" width="9" style="105" customWidth="1"/>
    <col min="5648" max="5887" width="9.140625" style="105"/>
    <col min="5888" max="5888" width="7.7109375" style="105" customWidth="1"/>
    <col min="5889" max="5889" width="58" style="105" customWidth="1"/>
    <col min="5890" max="5890" width="11.7109375" style="105" customWidth="1"/>
    <col min="5891" max="5891" width="18.7109375" style="105" customWidth="1"/>
    <col min="5892" max="5893" width="8.85546875" style="105" customWidth="1"/>
    <col min="5894" max="5901" width="9" style="105" customWidth="1"/>
    <col min="5902" max="5902" width="8.7109375" style="105" customWidth="1"/>
    <col min="5903" max="5903" width="9" style="105" customWidth="1"/>
    <col min="5904" max="6143" width="9.140625" style="105"/>
    <col min="6144" max="6144" width="7.7109375" style="105" customWidth="1"/>
    <col min="6145" max="6145" width="58" style="105" customWidth="1"/>
    <col min="6146" max="6146" width="11.7109375" style="105" customWidth="1"/>
    <col min="6147" max="6147" width="18.7109375" style="105" customWidth="1"/>
    <col min="6148" max="6149" width="8.85546875" style="105" customWidth="1"/>
    <col min="6150" max="6157" width="9" style="105" customWidth="1"/>
    <col min="6158" max="6158" width="8.7109375" style="105" customWidth="1"/>
    <col min="6159" max="6159" width="9" style="105" customWidth="1"/>
    <col min="6160" max="6399" width="9.140625" style="105"/>
    <col min="6400" max="6400" width="7.7109375" style="105" customWidth="1"/>
    <col min="6401" max="6401" width="58" style="105" customWidth="1"/>
    <col min="6402" max="6402" width="11.7109375" style="105" customWidth="1"/>
    <col min="6403" max="6403" width="18.7109375" style="105" customWidth="1"/>
    <col min="6404" max="6405" width="8.85546875" style="105" customWidth="1"/>
    <col min="6406" max="6413" width="9" style="105" customWidth="1"/>
    <col min="6414" max="6414" width="8.7109375" style="105" customWidth="1"/>
    <col min="6415" max="6415" width="9" style="105" customWidth="1"/>
    <col min="6416" max="6655" width="9.140625" style="105"/>
    <col min="6656" max="6656" width="7.7109375" style="105" customWidth="1"/>
    <col min="6657" max="6657" width="58" style="105" customWidth="1"/>
    <col min="6658" max="6658" width="11.7109375" style="105" customWidth="1"/>
    <col min="6659" max="6659" width="18.7109375" style="105" customWidth="1"/>
    <col min="6660" max="6661" width="8.85546875" style="105" customWidth="1"/>
    <col min="6662" max="6669" width="9" style="105" customWidth="1"/>
    <col min="6670" max="6670" width="8.7109375" style="105" customWidth="1"/>
    <col min="6671" max="6671" width="9" style="105" customWidth="1"/>
    <col min="6672" max="6911" width="9.140625" style="105"/>
    <col min="6912" max="6912" width="7.7109375" style="105" customWidth="1"/>
    <col min="6913" max="6913" width="58" style="105" customWidth="1"/>
    <col min="6914" max="6914" width="11.7109375" style="105" customWidth="1"/>
    <col min="6915" max="6915" width="18.7109375" style="105" customWidth="1"/>
    <col min="6916" max="6917" width="8.85546875" style="105" customWidth="1"/>
    <col min="6918" max="6925" width="9" style="105" customWidth="1"/>
    <col min="6926" max="6926" width="8.7109375" style="105" customWidth="1"/>
    <col min="6927" max="6927" width="9" style="105" customWidth="1"/>
    <col min="6928" max="7167" width="9.140625" style="105"/>
    <col min="7168" max="7168" width="7.7109375" style="105" customWidth="1"/>
    <col min="7169" max="7169" width="58" style="105" customWidth="1"/>
    <col min="7170" max="7170" width="11.7109375" style="105" customWidth="1"/>
    <col min="7171" max="7171" width="18.7109375" style="105" customWidth="1"/>
    <col min="7172" max="7173" width="8.85546875" style="105" customWidth="1"/>
    <col min="7174" max="7181" width="9" style="105" customWidth="1"/>
    <col min="7182" max="7182" width="8.7109375" style="105" customWidth="1"/>
    <col min="7183" max="7183" width="9" style="105" customWidth="1"/>
    <col min="7184" max="7423" width="9.140625" style="105"/>
    <col min="7424" max="7424" width="7.7109375" style="105" customWidth="1"/>
    <col min="7425" max="7425" width="58" style="105" customWidth="1"/>
    <col min="7426" max="7426" width="11.7109375" style="105" customWidth="1"/>
    <col min="7427" max="7427" width="18.7109375" style="105" customWidth="1"/>
    <col min="7428" max="7429" width="8.85546875" style="105" customWidth="1"/>
    <col min="7430" max="7437" width="9" style="105" customWidth="1"/>
    <col min="7438" max="7438" width="8.7109375" style="105" customWidth="1"/>
    <col min="7439" max="7439" width="9" style="105" customWidth="1"/>
    <col min="7440" max="7679" width="9.140625" style="105"/>
    <col min="7680" max="7680" width="7.7109375" style="105" customWidth="1"/>
    <col min="7681" max="7681" width="58" style="105" customWidth="1"/>
    <col min="7682" max="7682" width="11.7109375" style="105" customWidth="1"/>
    <col min="7683" max="7683" width="18.7109375" style="105" customWidth="1"/>
    <col min="7684" max="7685" width="8.85546875" style="105" customWidth="1"/>
    <col min="7686" max="7693" width="9" style="105" customWidth="1"/>
    <col min="7694" max="7694" width="8.7109375" style="105" customWidth="1"/>
    <col min="7695" max="7695" width="9" style="105" customWidth="1"/>
    <col min="7696" max="7935" width="9.140625" style="105"/>
    <col min="7936" max="7936" width="7.7109375" style="105" customWidth="1"/>
    <col min="7937" max="7937" width="58" style="105" customWidth="1"/>
    <col min="7938" max="7938" width="11.7109375" style="105" customWidth="1"/>
    <col min="7939" max="7939" width="18.7109375" style="105" customWidth="1"/>
    <col min="7940" max="7941" width="8.85546875" style="105" customWidth="1"/>
    <col min="7942" max="7949" width="9" style="105" customWidth="1"/>
    <col min="7950" max="7950" width="8.7109375" style="105" customWidth="1"/>
    <col min="7951" max="7951" width="9" style="105" customWidth="1"/>
    <col min="7952" max="8191" width="9.140625" style="105"/>
    <col min="8192" max="8192" width="7.7109375" style="105" customWidth="1"/>
    <col min="8193" max="8193" width="58" style="105" customWidth="1"/>
    <col min="8194" max="8194" width="11.7109375" style="105" customWidth="1"/>
    <col min="8195" max="8195" width="18.7109375" style="105" customWidth="1"/>
    <col min="8196" max="8197" width="8.85546875" style="105" customWidth="1"/>
    <col min="8198" max="8205" width="9" style="105" customWidth="1"/>
    <col min="8206" max="8206" width="8.7109375" style="105" customWidth="1"/>
    <col min="8207" max="8207" width="9" style="105" customWidth="1"/>
    <col min="8208" max="8447" width="9.140625" style="105"/>
    <col min="8448" max="8448" width="7.7109375" style="105" customWidth="1"/>
    <col min="8449" max="8449" width="58" style="105" customWidth="1"/>
    <col min="8450" max="8450" width="11.7109375" style="105" customWidth="1"/>
    <col min="8451" max="8451" width="18.7109375" style="105" customWidth="1"/>
    <col min="8452" max="8453" width="8.85546875" style="105" customWidth="1"/>
    <col min="8454" max="8461" width="9" style="105" customWidth="1"/>
    <col min="8462" max="8462" width="8.7109375" style="105" customWidth="1"/>
    <col min="8463" max="8463" width="9" style="105" customWidth="1"/>
    <col min="8464" max="8703" width="9.140625" style="105"/>
    <col min="8704" max="8704" width="7.7109375" style="105" customWidth="1"/>
    <col min="8705" max="8705" width="58" style="105" customWidth="1"/>
    <col min="8706" max="8706" width="11.7109375" style="105" customWidth="1"/>
    <col min="8707" max="8707" width="18.7109375" style="105" customWidth="1"/>
    <col min="8708" max="8709" width="8.85546875" style="105" customWidth="1"/>
    <col min="8710" max="8717" width="9" style="105" customWidth="1"/>
    <col min="8718" max="8718" width="8.7109375" style="105" customWidth="1"/>
    <col min="8719" max="8719" width="9" style="105" customWidth="1"/>
    <col min="8720" max="8959" width="9.140625" style="105"/>
    <col min="8960" max="8960" width="7.7109375" style="105" customWidth="1"/>
    <col min="8961" max="8961" width="58" style="105" customWidth="1"/>
    <col min="8962" max="8962" width="11.7109375" style="105" customWidth="1"/>
    <col min="8963" max="8963" width="18.7109375" style="105" customWidth="1"/>
    <col min="8964" max="8965" width="8.85546875" style="105" customWidth="1"/>
    <col min="8966" max="8973" width="9" style="105" customWidth="1"/>
    <col min="8974" max="8974" width="8.7109375" style="105" customWidth="1"/>
    <col min="8975" max="8975" width="9" style="105" customWidth="1"/>
    <col min="8976" max="9215" width="9.140625" style="105"/>
    <col min="9216" max="9216" width="7.7109375" style="105" customWidth="1"/>
    <col min="9217" max="9217" width="58" style="105" customWidth="1"/>
    <col min="9218" max="9218" width="11.7109375" style="105" customWidth="1"/>
    <col min="9219" max="9219" width="18.7109375" style="105" customWidth="1"/>
    <col min="9220" max="9221" width="8.85546875" style="105" customWidth="1"/>
    <col min="9222" max="9229" width="9" style="105" customWidth="1"/>
    <col min="9230" max="9230" width="8.7109375" style="105" customWidth="1"/>
    <col min="9231" max="9231" width="9" style="105" customWidth="1"/>
    <col min="9232" max="9471" width="9.140625" style="105"/>
    <col min="9472" max="9472" width="7.7109375" style="105" customWidth="1"/>
    <col min="9473" max="9473" width="58" style="105" customWidth="1"/>
    <col min="9474" max="9474" width="11.7109375" style="105" customWidth="1"/>
    <col min="9475" max="9475" width="18.7109375" style="105" customWidth="1"/>
    <col min="9476" max="9477" width="8.85546875" style="105" customWidth="1"/>
    <col min="9478" max="9485" width="9" style="105" customWidth="1"/>
    <col min="9486" max="9486" width="8.7109375" style="105" customWidth="1"/>
    <col min="9487" max="9487" width="9" style="105" customWidth="1"/>
    <col min="9488" max="9727" width="9.140625" style="105"/>
    <col min="9728" max="9728" width="7.7109375" style="105" customWidth="1"/>
    <col min="9729" max="9729" width="58" style="105" customWidth="1"/>
    <col min="9730" max="9730" width="11.7109375" style="105" customWidth="1"/>
    <col min="9731" max="9731" width="18.7109375" style="105" customWidth="1"/>
    <col min="9732" max="9733" width="8.85546875" style="105" customWidth="1"/>
    <col min="9734" max="9741" width="9" style="105" customWidth="1"/>
    <col min="9742" max="9742" width="8.7109375" style="105" customWidth="1"/>
    <col min="9743" max="9743" width="9" style="105" customWidth="1"/>
    <col min="9744" max="9983" width="9.140625" style="105"/>
    <col min="9984" max="9984" width="7.7109375" style="105" customWidth="1"/>
    <col min="9985" max="9985" width="58" style="105" customWidth="1"/>
    <col min="9986" max="9986" width="11.7109375" style="105" customWidth="1"/>
    <col min="9987" max="9987" width="18.7109375" style="105" customWidth="1"/>
    <col min="9988" max="9989" width="8.85546875" style="105" customWidth="1"/>
    <col min="9990" max="9997" width="9" style="105" customWidth="1"/>
    <col min="9998" max="9998" width="8.7109375" style="105" customWidth="1"/>
    <col min="9999" max="9999" width="9" style="105" customWidth="1"/>
    <col min="10000" max="10239" width="9.140625" style="105"/>
    <col min="10240" max="10240" width="7.7109375" style="105" customWidth="1"/>
    <col min="10241" max="10241" width="58" style="105" customWidth="1"/>
    <col min="10242" max="10242" width="11.7109375" style="105" customWidth="1"/>
    <col min="10243" max="10243" width="18.7109375" style="105" customWidth="1"/>
    <col min="10244" max="10245" width="8.85546875" style="105" customWidth="1"/>
    <col min="10246" max="10253" width="9" style="105" customWidth="1"/>
    <col min="10254" max="10254" width="8.7109375" style="105" customWidth="1"/>
    <col min="10255" max="10255" width="9" style="105" customWidth="1"/>
    <col min="10256" max="10495" width="9.140625" style="105"/>
    <col min="10496" max="10496" width="7.7109375" style="105" customWidth="1"/>
    <col min="10497" max="10497" width="58" style="105" customWidth="1"/>
    <col min="10498" max="10498" width="11.7109375" style="105" customWidth="1"/>
    <col min="10499" max="10499" width="18.7109375" style="105" customWidth="1"/>
    <col min="10500" max="10501" width="8.85546875" style="105" customWidth="1"/>
    <col min="10502" max="10509" width="9" style="105" customWidth="1"/>
    <col min="10510" max="10510" width="8.7109375" style="105" customWidth="1"/>
    <col min="10511" max="10511" width="9" style="105" customWidth="1"/>
    <col min="10512" max="10751" width="9.140625" style="105"/>
    <col min="10752" max="10752" width="7.7109375" style="105" customWidth="1"/>
    <col min="10753" max="10753" width="58" style="105" customWidth="1"/>
    <col min="10754" max="10754" width="11.7109375" style="105" customWidth="1"/>
    <col min="10755" max="10755" width="18.7109375" style="105" customWidth="1"/>
    <col min="10756" max="10757" width="8.85546875" style="105" customWidth="1"/>
    <col min="10758" max="10765" width="9" style="105" customWidth="1"/>
    <col min="10766" max="10766" width="8.7109375" style="105" customWidth="1"/>
    <col min="10767" max="10767" width="9" style="105" customWidth="1"/>
    <col min="10768" max="11007" width="9.140625" style="105"/>
    <col min="11008" max="11008" width="7.7109375" style="105" customWidth="1"/>
    <col min="11009" max="11009" width="58" style="105" customWidth="1"/>
    <col min="11010" max="11010" width="11.7109375" style="105" customWidth="1"/>
    <col min="11011" max="11011" width="18.7109375" style="105" customWidth="1"/>
    <col min="11012" max="11013" width="8.85546875" style="105" customWidth="1"/>
    <col min="11014" max="11021" width="9" style="105" customWidth="1"/>
    <col min="11022" max="11022" width="8.7109375" style="105" customWidth="1"/>
    <col min="11023" max="11023" width="9" style="105" customWidth="1"/>
    <col min="11024" max="11263" width="9.140625" style="105"/>
    <col min="11264" max="11264" width="7.7109375" style="105" customWidth="1"/>
    <col min="11265" max="11265" width="58" style="105" customWidth="1"/>
    <col min="11266" max="11266" width="11.7109375" style="105" customWidth="1"/>
    <col min="11267" max="11267" width="18.7109375" style="105" customWidth="1"/>
    <col min="11268" max="11269" width="8.85546875" style="105" customWidth="1"/>
    <col min="11270" max="11277" width="9" style="105" customWidth="1"/>
    <col min="11278" max="11278" width="8.7109375" style="105" customWidth="1"/>
    <col min="11279" max="11279" width="9" style="105" customWidth="1"/>
    <col min="11280" max="11519" width="9.140625" style="105"/>
    <col min="11520" max="11520" width="7.7109375" style="105" customWidth="1"/>
    <col min="11521" max="11521" width="58" style="105" customWidth="1"/>
    <col min="11522" max="11522" width="11.7109375" style="105" customWidth="1"/>
    <col min="11523" max="11523" width="18.7109375" style="105" customWidth="1"/>
    <col min="11524" max="11525" width="8.85546875" style="105" customWidth="1"/>
    <col min="11526" max="11533" width="9" style="105" customWidth="1"/>
    <col min="11534" max="11534" width="8.7109375" style="105" customWidth="1"/>
    <col min="11535" max="11535" width="9" style="105" customWidth="1"/>
    <col min="11536" max="11775" width="9.140625" style="105"/>
    <col min="11776" max="11776" width="7.7109375" style="105" customWidth="1"/>
    <col min="11777" max="11777" width="58" style="105" customWidth="1"/>
    <col min="11778" max="11778" width="11.7109375" style="105" customWidth="1"/>
    <col min="11779" max="11779" width="18.7109375" style="105" customWidth="1"/>
    <col min="11780" max="11781" width="8.85546875" style="105" customWidth="1"/>
    <col min="11782" max="11789" width="9" style="105" customWidth="1"/>
    <col min="11790" max="11790" width="8.7109375" style="105" customWidth="1"/>
    <col min="11791" max="11791" width="9" style="105" customWidth="1"/>
    <col min="11792" max="12031" width="9.140625" style="105"/>
    <col min="12032" max="12032" width="7.7109375" style="105" customWidth="1"/>
    <col min="12033" max="12033" width="58" style="105" customWidth="1"/>
    <col min="12034" max="12034" width="11.7109375" style="105" customWidth="1"/>
    <col min="12035" max="12035" width="18.7109375" style="105" customWidth="1"/>
    <col min="12036" max="12037" width="8.85546875" style="105" customWidth="1"/>
    <col min="12038" max="12045" width="9" style="105" customWidth="1"/>
    <col min="12046" max="12046" width="8.7109375" style="105" customWidth="1"/>
    <col min="12047" max="12047" width="9" style="105" customWidth="1"/>
    <col min="12048" max="12287" width="9.140625" style="105"/>
    <col min="12288" max="12288" width="7.7109375" style="105" customWidth="1"/>
    <col min="12289" max="12289" width="58" style="105" customWidth="1"/>
    <col min="12290" max="12290" width="11.7109375" style="105" customWidth="1"/>
    <col min="12291" max="12291" width="18.7109375" style="105" customWidth="1"/>
    <col min="12292" max="12293" width="8.85546875" style="105" customWidth="1"/>
    <col min="12294" max="12301" width="9" style="105" customWidth="1"/>
    <col min="12302" max="12302" width="8.7109375" style="105" customWidth="1"/>
    <col min="12303" max="12303" width="9" style="105" customWidth="1"/>
    <col min="12304" max="12543" width="9.140625" style="105"/>
    <col min="12544" max="12544" width="7.7109375" style="105" customWidth="1"/>
    <col min="12545" max="12545" width="58" style="105" customWidth="1"/>
    <col min="12546" max="12546" width="11.7109375" style="105" customWidth="1"/>
    <col min="12547" max="12547" width="18.7109375" style="105" customWidth="1"/>
    <col min="12548" max="12549" width="8.85546875" style="105" customWidth="1"/>
    <col min="12550" max="12557" width="9" style="105" customWidth="1"/>
    <col min="12558" max="12558" width="8.7109375" style="105" customWidth="1"/>
    <col min="12559" max="12559" width="9" style="105" customWidth="1"/>
    <col min="12560" max="12799" width="9.140625" style="105"/>
    <col min="12800" max="12800" width="7.7109375" style="105" customWidth="1"/>
    <col min="12801" max="12801" width="58" style="105" customWidth="1"/>
    <col min="12802" max="12802" width="11.7109375" style="105" customWidth="1"/>
    <col min="12803" max="12803" width="18.7109375" style="105" customWidth="1"/>
    <col min="12804" max="12805" width="8.85546875" style="105" customWidth="1"/>
    <col min="12806" max="12813" width="9" style="105" customWidth="1"/>
    <col min="12814" max="12814" width="8.7109375" style="105" customWidth="1"/>
    <col min="12815" max="12815" width="9" style="105" customWidth="1"/>
    <col min="12816" max="13055" width="9.140625" style="105"/>
    <col min="13056" max="13056" width="7.7109375" style="105" customWidth="1"/>
    <col min="13057" max="13057" width="58" style="105" customWidth="1"/>
    <col min="13058" max="13058" width="11.7109375" style="105" customWidth="1"/>
    <col min="13059" max="13059" width="18.7109375" style="105" customWidth="1"/>
    <col min="13060" max="13061" width="8.85546875" style="105" customWidth="1"/>
    <col min="13062" max="13069" width="9" style="105" customWidth="1"/>
    <col min="13070" max="13070" width="8.7109375" style="105" customWidth="1"/>
    <col min="13071" max="13071" width="9" style="105" customWidth="1"/>
    <col min="13072" max="13311" width="9.140625" style="105"/>
    <col min="13312" max="13312" width="7.7109375" style="105" customWidth="1"/>
    <col min="13313" max="13313" width="58" style="105" customWidth="1"/>
    <col min="13314" max="13314" width="11.7109375" style="105" customWidth="1"/>
    <col min="13315" max="13315" width="18.7109375" style="105" customWidth="1"/>
    <col min="13316" max="13317" width="8.85546875" style="105" customWidth="1"/>
    <col min="13318" max="13325" width="9" style="105" customWidth="1"/>
    <col min="13326" max="13326" width="8.7109375" style="105" customWidth="1"/>
    <col min="13327" max="13327" width="9" style="105" customWidth="1"/>
    <col min="13328" max="13567" width="9.140625" style="105"/>
    <col min="13568" max="13568" width="7.7109375" style="105" customWidth="1"/>
    <col min="13569" max="13569" width="58" style="105" customWidth="1"/>
    <col min="13570" max="13570" width="11.7109375" style="105" customWidth="1"/>
    <col min="13571" max="13571" width="18.7109375" style="105" customWidth="1"/>
    <col min="13572" max="13573" width="8.85546875" style="105" customWidth="1"/>
    <col min="13574" max="13581" width="9" style="105" customWidth="1"/>
    <col min="13582" max="13582" width="8.7109375" style="105" customWidth="1"/>
    <col min="13583" max="13583" width="9" style="105" customWidth="1"/>
    <col min="13584" max="13823" width="9.140625" style="105"/>
    <col min="13824" max="13824" width="7.7109375" style="105" customWidth="1"/>
    <col min="13825" max="13825" width="58" style="105" customWidth="1"/>
    <col min="13826" max="13826" width="11.7109375" style="105" customWidth="1"/>
    <col min="13827" max="13827" width="18.7109375" style="105" customWidth="1"/>
    <col min="13828" max="13829" width="8.85546875" style="105" customWidth="1"/>
    <col min="13830" max="13837" width="9" style="105" customWidth="1"/>
    <col min="13838" max="13838" width="8.7109375" style="105" customWidth="1"/>
    <col min="13839" max="13839" width="9" style="105" customWidth="1"/>
    <col min="13840" max="14079" width="9.140625" style="105"/>
    <col min="14080" max="14080" width="7.7109375" style="105" customWidth="1"/>
    <col min="14081" max="14081" width="58" style="105" customWidth="1"/>
    <col min="14082" max="14082" width="11.7109375" style="105" customWidth="1"/>
    <col min="14083" max="14083" width="18.7109375" style="105" customWidth="1"/>
    <col min="14084" max="14085" width="8.85546875" style="105" customWidth="1"/>
    <col min="14086" max="14093" width="9" style="105" customWidth="1"/>
    <col min="14094" max="14094" width="8.7109375" style="105" customWidth="1"/>
    <col min="14095" max="14095" width="9" style="105" customWidth="1"/>
    <col min="14096" max="14335" width="9.140625" style="105"/>
    <col min="14336" max="14336" width="7.7109375" style="105" customWidth="1"/>
    <col min="14337" max="14337" width="58" style="105" customWidth="1"/>
    <col min="14338" max="14338" width="11.7109375" style="105" customWidth="1"/>
    <col min="14339" max="14339" width="18.7109375" style="105" customWidth="1"/>
    <col min="14340" max="14341" width="8.85546875" style="105" customWidth="1"/>
    <col min="14342" max="14349" width="9" style="105" customWidth="1"/>
    <col min="14350" max="14350" width="8.7109375" style="105" customWidth="1"/>
    <col min="14351" max="14351" width="9" style="105" customWidth="1"/>
    <col min="14352" max="14591" width="9.140625" style="105"/>
    <col min="14592" max="14592" width="7.7109375" style="105" customWidth="1"/>
    <col min="14593" max="14593" width="58" style="105" customWidth="1"/>
    <col min="14594" max="14594" width="11.7109375" style="105" customWidth="1"/>
    <col min="14595" max="14595" width="18.7109375" style="105" customWidth="1"/>
    <col min="14596" max="14597" width="8.85546875" style="105" customWidth="1"/>
    <col min="14598" max="14605" width="9" style="105" customWidth="1"/>
    <col min="14606" max="14606" width="8.7109375" style="105" customWidth="1"/>
    <col min="14607" max="14607" width="9" style="105" customWidth="1"/>
    <col min="14608" max="14847" width="9.140625" style="105"/>
    <col min="14848" max="14848" width="7.7109375" style="105" customWidth="1"/>
    <col min="14849" max="14849" width="58" style="105" customWidth="1"/>
    <col min="14850" max="14850" width="11.7109375" style="105" customWidth="1"/>
    <col min="14851" max="14851" width="18.7109375" style="105" customWidth="1"/>
    <col min="14852" max="14853" width="8.85546875" style="105" customWidth="1"/>
    <col min="14854" max="14861" width="9" style="105" customWidth="1"/>
    <col min="14862" max="14862" width="8.7109375" style="105" customWidth="1"/>
    <col min="14863" max="14863" width="9" style="105" customWidth="1"/>
    <col min="14864" max="15103" width="9.140625" style="105"/>
    <col min="15104" max="15104" width="7.7109375" style="105" customWidth="1"/>
    <col min="15105" max="15105" width="58" style="105" customWidth="1"/>
    <col min="15106" max="15106" width="11.7109375" style="105" customWidth="1"/>
    <col min="15107" max="15107" width="18.7109375" style="105" customWidth="1"/>
    <col min="15108" max="15109" width="8.85546875" style="105" customWidth="1"/>
    <col min="15110" max="15117" width="9" style="105" customWidth="1"/>
    <col min="15118" max="15118" width="8.7109375" style="105" customWidth="1"/>
    <col min="15119" max="15119" width="9" style="105" customWidth="1"/>
    <col min="15120" max="15359" width="9.140625" style="105"/>
    <col min="15360" max="15360" width="7.7109375" style="105" customWidth="1"/>
    <col min="15361" max="15361" width="58" style="105" customWidth="1"/>
    <col min="15362" max="15362" width="11.7109375" style="105" customWidth="1"/>
    <col min="15363" max="15363" width="18.7109375" style="105" customWidth="1"/>
    <col min="15364" max="15365" width="8.85546875" style="105" customWidth="1"/>
    <col min="15366" max="15373" width="9" style="105" customWidth="1"/>
    <col min="15374" max="15374" width="8.7109375" style="105" customWidth="1"/>
    <col min="15375" max="15375" width="9" style="105" customWidth="1"/>
    <col min="15376" max="15615" width="9.140625" style="105"/>
    <col min="15616" max="15616" width="7.7109375" style="105" customWidth="1"/>
    <col min="15617" max="15617" width="58" style="105" customWidth="1"/>
    <col min="15618" max="15618" width="11.7109375" style="105" customWidth="1"/>
    <col min="15619" max="15619" width="18.7109375" style="105" customWidth="1"/>
    <col min="15620" max="15621" width="8.85546875" style="105" customWidth="1"/>
    <col min="15622" max="15629" width="9" style="105" customWidth="1"/>
    <col min="15630" max="15630" width="8.7109375" style="105" customWidth="1"/>
    <col min="15631" max="15631" width="9" style="105" customWidth="1"/>
    <col min="15632" max="15871" width="9.140625" style="105"/>
    <col min="15872" max="15872" width="7.7109375" style="105" customWidth="1"/>
    <col min="15873" max="15873" width="58" style="105" customWidth="1"/>
    <col min="15874" max="15874" width="11.7109375" style="105" customWidth="1"/>
    <col min="15875" max="15875" width="18.7109375" style="105" customWidth="1"/>
    <col min="15876" max="15877" width="8.85546875" style="105" customWidth="1"/>
    <col min="15878" max="15885" width="9" style="105" customWidth="1"/>
    <col min="15886" max="15886" width="8.7109375" style="105" customWidth="1"/>
    <col min="15887" max="15887" width="9" style="105" customWidth="1"/>
    <col min="15888" max="16127" width="9.140625" style="105"/>
    <col min="16128" max="16128" width="7.7109375" style="105" customWidth="1"/>
    <col min="16129" max="16129" width="58" style="105" customWidth="1"/>
    <col min="16130" max="16130" width="11.7109375" style="105" customWidth="1"/>
    <col min="16131" max="16131" width="18.7109375" style="105" customWidth="1"/>
    <col min="16132" max="16133" width="8.85546875" style="105" customWidth="1"/>
    <col min="16134" max="16141" width="9" style="105" customWidth="1"/>
    <col min="16142" max="16142" width="8.7109375" style="105" customWidth="1"/>
    <col min="16143" max="16143" width="9" style="105" customWidth="1"/>
    <col min="16144" max="16384" width="9.140625" style="105"/>
  </cols>
  <sheetData>
    <row r="1" spans="1:18" ht="54.75" customHeight="1" x14ac:dyDescent="0.2">
      <c r="O1" s="817" t="s">
        <v>288</v>
      </c>
      <c r="P1" s="817"/>
    </row>
    <row r="2" spans="1:18" ht="29.25" customHeight="1" thickBot="1" x14ac:dyDescent="0.25">
      <c r="A2" s="818" t="s">
        <v>366</v>
      </c>
      <c r="B2" s="818"/>
      <c r="C2" s="818"/>
      <c r="D2" s="818"/>
      <c r="E2" s="818"/>
      <c r="F2" s="818"/>
      <c r="G2" s="818"/>
      <c r="H2" s="818"/>
      <c r="I2" s="818"/>
      <c r="J2" s="818"/>
      <c r="K2" s="818"/>
      <c r="L2" s="818"/>
      <c r="M2" s="818"/>
      <c r="N2" s="818"/>
      <c r="O2" s="818"/>
      <c r="P2" s="818"/>
    </row>
    <row r="3" spans="1:18" ht="34.5" customHeight="1" thickBot="1" x14ac:dyDescent="0.25">
      <c r="A3" s="826" t="s">
        <v>127</v>
      </c>
      <c r="B3" s="827"/>
      <c r="C3" s="113" t="s">
        <v>94</v>
      </c>
      <c r="D3" s="114" t="s">
        <v>126</v>
      </c>
      <c r="E3" s="115" t="s">
        <v>98</v>
      </c>
      <c r="F3" s="115" t="s">
        <v>99</v>
      </c>
      <c r="G3" s="115" t="s">
        <v>100</v>
      </c>
      <c r="H3" s="115" t="s">
        <v>101</v>
      </c>
      <c r="I3" s="115" t="s">
        <v>102</v>
      </c>
      <c r="J3" s="115" t="s">
        <v>103</v>
      </c>
      <c r="K3" s="115" t="s">
        <v>104</v>
      </c>
      <c r="L3" s="115" t="s">
        <v>105</v>
      </c>
      <c r="M3" s="115" t="s">
        <v>106</v>
      </c>
      <c r="N3" s="115" t="s">
        <v>107</v>
      </c>
      <c r="O3" s="115" t="s">
        <v>108</v>
      </c>
      <c r="P3" s="116" t="s">
        <v>109</v>
      </c>
    </row>
    <row r="4" spans="1:18" ht="20.25" customHeight="1" x14ac:dyDescent="0.2">
      <c r="A4" s="821" t="s">
        <v>137</v>
      </c>
      <c r="B4" s="117" t="s">
        <v>289</v>
      </c>
      <c r="C4" s="118" t="s">
        <v>135</v>
      </c>
      <c r="D4" s="230"/>
      <c r="E4" s="231"/>
      <c r="F4" s="231"/>
      <c r="G4" s="231"/>
      <c r="H4" s="231"/>
      <c r="I4" s="231"/>
      <c r="J4" s="231"/>
      <c r="K4" s="231"/>
      <c r="L4" s="231"/>
      <c r="M4" s="231"/>
      <c r="N4" s="231"/>
      <c r="O4" s="231"/>
      <c r="P4" s="232"/>
    </row>
    <row r="5" spans="1:18" ht="24" customHeight="1" x14ac:dyDescent="0.2">
      <c r="A5" s="822"/>
      <c r="B5" s="119" t="s">
        <v>290</v>
      </c>
      <c r="C5" s="120" t="s">
        <v>135</v>
      </c>
      <c r="D5" s="233">
        <v>0</v>
      </c>
      <c r="E5" s="234">
        <f t="shared" ref="E5:P5" si="0">D5</f>
        <v>0</v>
      </c>
      <c r="F5" s="234">
        <f t="shared" si="0"/>
        <v>0</v>
      </c>
      <c r="G5" s="234">
        <f t="shared" si="0"/>
        <v>0</v>
      </c>
      <c r="H5" s="234">
        <f t="shared" si="0"/>
        <v>0</v>
      </c>
      <c r="I5" s="234">
        <f t="shared" si="0"/>
        <v>0</v>
      </c>
      <c r="J5" s="234">
        <f t="shared" si="0"/>
        <v>0</v>
      </c>
      <c r="K5" s="234">
        <f t="shared" si="0"/>
        <v>0</v>
      </c>
      <c r="L5" s="234">
        <f t="shared" si="0"/>
        <v>0</v>
      </c>
      <c r="M5" s="234">
        <f t="shared" si="0"/>
        <v>0</v>
      </c>
      <c r="N5" s="234">
        <f t="shared" si="0"/>
        <v>0</v>
      </c>
      <c r="O5" s="234">
        <f t="shared" si="0"/>
        <v>0</v>
      </c>
      <c r="P5" s="235">
        <f t="shared" si="0"/>
        <v>0</v>
      </c>
    </row>
    <row r="6" spans="1:18" ht="29.25" customHeight="1" x14ac:dyDescent="0.2">
      <c r="A6" s="822"/>
      <c r="B6" s="119" t="s">
        <v>291</v>
      </c>
      <c r="C6" s="120" t="s">
        <v>135</v>
      </c>
      <c r="D6" s="233"/>
      <c r="E6" s="234"/>
      <c r="F6" s="234"/>
      <c r="G6" s="234"/>
      <c r="H6" s="234"/>
      <c r="I6" s="234"/>
      <c r="J6" s="234"/>
      <c r="K6" s="234"/>
      <c r="L6" s="234"/>
      <c r="M6" s="234"/>
      <c r="N6" s="234"/>
      <c r="O6" s="234"/>
      <c r="P6" s="235"/>
    </row>
    <row r="7" spans="1:18" ht="28.5" customHeight="1" x14ac:dyDescent="0.2">
      <c r="A7" s="822"/>
      <c r="B7" s="119" t="s">
        <v>340</v>
      </c>
      <c r="C7" s="120" t="s">
        <v>135</v>
      </c>
      <c r="D7" s="233">
        <f>D8+D9</f>
        <v>7082.5530037977678</v>
      </c>
      <c r="E7" s="236">
        <f>E8+E9</f>
        <v>7050.95</v>
      </c>
      <c r="F7" s="236">
        <f t="shared" ref="F7:P7" si="1">F8+F9</f>
        <v>7050.95</v>
      </c>
      <c r="G7" s="236">
        <f t="shared" si="1"/>
        <v>7091.65</v>
      </c>
      <c r="H7" s="236">
        <f t="shared" si="1"/>
        <v>7056.93</v>
      </c>
      <c r="I7" s="236">
        <f t="shared" si="1"/>
        <v>7019.75</v>
      </c>
      <c r="J7" s="236">
        <f t="shared" si="1"/>
        <v>7402.37</v>
      </c>
      <c r="K7" s="236">
        <f t="shared" si="1"/>
        <v>7251.5599999999995</v>
      </c>
      <c r="L7" s="236">
        <f t="shared" si="1"/>
        <v>7402.37</v>
      </c>
      <c r="M7" s="236">
        <f t="shared" si="1"/>
        <v>7402.37</v>
      </c>
      <c r="N7" s="236">
        <f t="shared" si="1"/>
        <v>6771.34</v>
      </c>
      <c r="O7" s="236">
        <f t="shared" si="1"/>
        <v>7192.72</v>
      </c>
      <c r="P7" s="237">
        <f t="shared" si="1"/>
        <v>6908.17</v>
      </c>
      <c r="R7" s="352"/>
    </row>
    <row r="8" spans="1:18" ht="27.75" customHeight="1" x14ac:dyDescent="0.2">
      <c r="A8" s="822"/>
      <c r="B8" s="119" t="s">
        <v>341</v>
      </c>
      <c r="C8" s="120" t="s">
        <v>135</v>
      </c>
      <c r="D8" s="233">
        <f>(E8*(E39+E76)+F8*(F39+F76)+G8*(G39+G76)+H8*(H39+H76)+I8*(I39+I76)+J8*(J39+J76)+K8*(K39+K76)+L8*(L39+L76)+M8*(M39+M76)+N8*(N39+N76)+O8*(O39+O76)+P8*(P39+P76))/(D39+D76)</f>
        <v>6179.2499999999991</v>
      </c>
      <c r="E8" s="238">
        <v>6179.25</v>
      </c>
      <c r="F8" s="238">
        <v>6179.25</v>
      </c>
      <c r="G8" s="238">
        <v>6179.25</v>
      </c>
      <c r="H8" s="238">
        <v>6179.25</v>
      </c>
      <c r="I8" s="238">
        <v>6179.25</v>
      </c>
      <c r="J8" s="238">
        <v>6179.25</v>
      </c>
      <c r="K8" s="238">
        <v>6179.25</v>
      </c>
      <c r="L8" s="238">
        <v>6179.25</v>
      </c>
      <c r="M8" s="238">
        <v>6179.25</v>
      </c>
      <c r="N8" s="238">
        <v>6179.25</v>
      </c>
      <c r="O8" s="238">
        <v>6179.25</v>
      </c>
      <c r="P8" s="238">
        <v>6179.25</v>
      </c>
      <c r="R8" s="352"/>
    </row>
    <row r="9" spans="1:18" ht="34.5" customHeight="1" x14ac:dyDescent="0.2">
      <c r="A9" s="822"/>
      <c r="B9" s="119" t="s">
        <v>131</v>
      </c>
      <c r="C9" s="120" t="s">
        <v>135</v>
      </c>
      <c r="D9" s="233">
        <f>(E9*(E39+E76)+F9*(F39+F76)+G9*(G39+G76)+H9*(H39+H76)+I9*(I39+I76)+J9*(J39+J76)+K9*(K39+K76)+L9*(L39+L76)+M9*(M39+M76)+N9*(N39+N76)+O9*(O39+O76)+P9*(P39+P76))/(D39+D76)</f>
        <v>903.30300379776884</v>
      </c>
      <c r="E9" s="238">
        <v>871.7</v>
      </c>
      <c r="F9" s="238">
        <v>871.7</v>
      </c>
      <c r="G9" s="238">
        <v>912.4</v>
      </c>
      <c r="H9" s="238">
        <v>877.68</v>
      </c>
      <c r="I9" s="238">
        <v>840.5</v>
      </c>
      <c r="J9" s="238">
        <v>1223.1199999999999</v>
      </c>
      <c r="K9" s="238">
        <v>1072.31</v>
      </c>
      <c r="L9" s="238">
        <v>1223.1199999999999</v>
      </c>
      <c r="M9" s="238">
        <v>1223.1199999999999</v>
      </c>
      <c r="N9" s="238">
        <v>592.09</v>
      </c>
      <c r="O9" s="238">
        <v>1013.47</v>
      </c>
      <c r="P9" s="239">
        <v>728.92</v>
      </c>
      <c r="R9" s="352"/>
    </row>
    <row r="10" spans="1:18" ht="27.75" customHeight="1" x14ac:dyDescent="0.2">
      <c r="A10" s="822"/>
      <c r="B10" s="119" t="s">
        <v>142</v>
      </c>
      <c r="C10" s="120" t="s">
        <v>136</v>
      </c>
      <c r="D10" s="233">
        <f>D11+D12</f>
        <v>1879.9999999999998</v>
      </c>
      <c r="E10" s="236">
        <f t="shared" ref="E10:P10" si="2">E11+E12</f>
        <v>1880</v>
      </c>
      <c r="F10" s="236">
        <f t="shared" si="2"/>
        <v>1880</v>
      </c>
      <c r="G10" s="236">
        <f t="shared" si="2"/>
        <v>1880</v>
      </c>
      <c r="H10" s="236">
        <f t="shared" si="2"/>
        <v>1880</v>
      </c>
      <c r="I10" s="236">
        <f t="shared" si="2"/>
        <v>1880</v>
      </c>
      <c r="J10" s="236">
        <f t="shared" si="2"/>
        <v>1880</v>
      </c>
      <c r="K10" s="236">
        <f t="shared" si="2"/>
        <v>1880</v>
      </c>
      <c r="L10" s="236">
        <f t="shared" si="2"/>
        <v>1880</v>
      </c>
      <c r="M10" s="236">
        <f t="shared" si="2"/>
        <v>1880</v>
      </c>
      <c r="N10" s="236">
        <f t="shared" si="2"/>
        <v>1880</v>
      </c>
      <c r="O10" s="236">
        <f t="shared" si="2"/>
        <v>1880</v>
      </c>
      <c r="P10" s="237">
        <f t="shared" si="2"/>
        <v>1880</v>
      </c>
      <c r="R10" s="352"/>
    </row>
    <row r="11" spans="1:18" ht="21.75" customHeight="1" x14ac:dyDescent="0.2">
      <c r="A11" s="822"/>
      <c r="B11" s="119" t="s">
        <v>141</v>
      </c>
      <c r="C11" s="120" t="s">
        <v>136</v>
      </c>
      <c r="D11" s="233">
        <f>(E11*(E40+E77)+F11*(F40+F77)+G11*(G40+G77)+H11*(H40+H77)+I11*(I40+I77)+J11*(J40+J77)+K11*(K40+K77)+L11*(L40+L77)+M11*(M40+M77)+N11*(N40+N77)+O11*(O40+O77)+P11*(P40+P77))/(D77+D40)</f>
        <v>1649.9999999999998</v>
      </c>
      <c r="E11" s="467">
        <v>1650</v>
      </c>
      <c r="F11" s="467">
        <v>1650</v>
      </c>
      <c r="G11" s="467">
        <v>1650</v>
      </c>
      <c r="H11" s="467">
        <v>1650</v>
      </c>
      <c r="I11" s="467">
        <v>1650</v>
      </c>
      <c r="J11" s="467">
        <v>1650</v>
      </c>
      <c r="K11" s="467">
        <v>1650</v>
      </c>
      <c r="L11" s="467">
        <v>1650</v>
      </c>
      <c r="M11" s="467">
        <v>1650</v>
      </c>
      <c r="N11" s="467">
        <v>1650</v>
      </c>
      <c r="O11" s="467">
        <v>1650</v>
      </c>
      <c r="P11" s="467">
        <v>1650</v>
      </c>
      <c r="R11" s="352"/>
    </row>
    <row r="12" spans="1:18" ht="26.25" customHeight="1" x14ac:dyDescent="0.2">
      <c r="A12" s="822"/>
      <c r="B12" s="119" t="s">
        <v>156</v>
      </c>
      <c r="C12" s="120" t="s">
        <v>136</v>
      </c>
      <c r="D12" s="233">
        <f>(E12*(E40+E77)+F12*(F40+F77)+G12*(G40+G77)+H12*(H40+H77)+I12*(I40+I77)+J12*(J40+J77)+K12*(K40+K77)+L12*(L40+L77)+M12*(M40+M77)+N12*(N40+N77)+O12*(O40+O77)+P12*(P40+P77))/(D40+D77)</f>
        <v>230</v>
      </c>
      <c r="E12" s="238">
        <v>230</v>
      </c>
      <c r="F12" s="238">
        <v>230</v>
      </c>
      <c r="G12" s="238">
        <v>230</v>
      </c>
      <c r="H12" s="238">
        <v>230</v>
      </c>
      <c r="I12" s="238">
        <v>230</v>
      </c>
      <c r="J12" s="238">
        <v>230</v>
      </c>
      <c r="K12" s="238">
        <v>230</v>
      </c>
      <c r="L12" s="238">
        <v>230</v>
      </c>
      <c r="M12" s="238">
        <v>230</v>
      </c>
      <c r="N12" s="238">
        <v>230</v>
      </c>
      <c r="O12" s="238">
        <v>230</v>
      </c>
      <c r="P12" s="238">
        <v>230</v>
      </c>
      <c r="R12" s="352"/>
    </row>
    <row r="13" spans="1:18" ht="20.25" customHeight="1" x14ac:dyDescent="0.2">
      <c r="A13" s="822"/>
      <c r="B13" s="119" t="s">
        <v>133</v>
      </c>
      <c r="C13" s="120" t="s">
        <v>136</v>
      </c>
      <c r="D13" s="233">
        <f>(E13*(E41+E78)+F13*(F41+F78)+G13*(G41+G78)+H13*(H41+H78)+I13*(I41+I78)+J13*(J41+J78)+K13*(K41+K78)+L13*(L41+L78)+M13*(M41+M78)+N13*(N41+N78)+O13*(O41+O78)+P13*(P41+P78))/(D41+D78)</f>
        <v>9353.0836734693876</v>
      </c>
      <c r="E13" s="238">
        <v>9148</v>
      </c>
      <c r="F13" s="238">
        <v>9148</v>
      </c>
      <c r="G13" s="238">
        <v>9148</v>
      </c>
      <c r="H13" s="238">
        <v>9148</v>
      </c>
      <c r="I13" s="238">
        <v>9482.9699999999993</v>
      </c>
      <c r="J13" s="238">
        <v>9482.9699999999993</v>
      </c>
      <c r="K13" s="238">
        <v>9482.9699999999993</v>
      </c>
      <c r="L13" s="238">
        <v>9482.9699999999993</v>
      </c>
      <c r="M13" s="238">
        <v>9482.9699999999993</v>
      </c>
      <c r="N13" s="238">
        <v>9482.9699999999993</v>
      </c>
      <c r="O13" s="238">
        <v>9482.9699999999993</v>
      </c>
      <c r="P13" s="238">
        <v>9482.9699999999993</v>
      </c>
      <c r="R13" s="352"/>
    </row>
    <row r="14" spans="1:18" ht="21" customHeight="1" thickBot="1" x14ac:dyDescent="0.25">
      <c r="A14" s="823"/>
      <c r="B14" s="121" t="s">
        <v>134</v>
      </c>
      <c r="C14" s="122" t="s">
        <v>136</v>
      </c>
      <c r="D14" s="240">
        <v>0</v>
      </c>
      <c r="E14" s="241">
        <f t="shared" ref="E14:P14" si="3">D14</f>
        <v>0</v>
      </c>
      <c r="F14" s="241">
        <f t="shared" si="3"/>
        <v>0</v>
      </c>
      <c r="G14" s="241">
        <f t="shared" si="3"/>
        <v>0</v>
      </c>
      <c r="H14" s="241">
        <f t="shared" si="3"/>
        <v>0</v>
      </c>
      <c r="I14" s="241">
        <f t="shared" si="3"/>
        <v>0</v>
      </c>
      <c r="J14" s="241">
        <f t="shared" si="3"/>
        <v>0</v>
      </c>
      <c r="K14" s="241">
        <f t="shared" si="3"/>
        <v>0</v>
      </c>
      <c r="L14" s="241">
        <f t="shared" si="3"/>
        <v>0</v>
      </c>
      <c r="M14" s="241">
        <f t="shared" si="3"/>
        <v>0</v>
      </c>
      <c r="N14" s="241">
        <f t="shared" si="3"/>
        <v>0</v>
      </c>
      <c r="O14" s="241">
        <f t="shared" si="3"/>
        <v>0</v>
      </c>
      <c r="P14" s="242">
        <f t="shared" si="3"/>
        <v>0</v>
      </c>
      <c r="R14" s="352"/>
    </row>
    <row r="15" spans="1:18" ht="15.95" customHeight="1" thickBot="1" x14ac:dyDescent="0.25">
      <c r="A15" s="824" t="s">
        <v>128</v>
      </c>
      <c r="B15" s="117" t="s">
        <v>129</v>
      </c>
      <c r="C15" s="123" t="s">
        <v>145</v>
      </c>
      <c r="D15" s="243"/>
      <c r="E15" s="244"/>
      <c r="F15" s="244"/>
      <c r="G15" s="244"/>
      <c r="H15" s="244"/>
      <c r="I15" s="244"/>
      <c r="J15" s="244"/>
      <c r="K15" s="244"/>
      <c r="L15" s="244"/>
      <c r="M15" s="244"/>
      <c r="N15" s="244"/>
      <c r="O15" s="244"/>
      <c r="P15" s="244"/>
      <c r="R15" s="352"/>
    </row>
    <row r="16" spans="1:18" ht="15.95" customHeight="1" thickBot="1" x14ac:dyDescent="0.25">
      <c r="A16" s="815"/>
      <c r="B16" s="119" t="s">
        <v>130</v>
      </c>
      <c r="C16" s="124" t="s">
        <v>145</v>
      </c>
      <c r="D16" s="243"/>
      <c r="E16" s="244"/>
      <c r="F16" s="244"/>
      <c r="G16" s="244"/>
      <c r="H16" s="244"/>
      <c r="I16" s="244"/>
      <c r="J16" s="244"/>
      <c r="K16" s="244"/>
      <c r="L16" s="244"/>
      <c r="M16" s="244"/>
      <c r="N16" s="244"/>
      <c r="O16" s="244"/>
      <c r="P16" s="244"/>
      <c r="R16" s="352"/>
    </row>
    <row r="17" spans="1:18" ht="15.95" customHeight="1" thickBot="1" x14ac:dyDescent="0.25">
      <c r="A17" s="815"/>
      <c r="B17" s="119" t="s">
        <v>292</v>
      </c>
      <c r="C17" s="124" t="s">
        <v>342</v>
      </c>
      <c r="D17" s="243"/>
      <c r="E17" s="244"/>
      <c r="F17" s="244"/>
      <c r="G17" s="244"/>
      <c r="H17" s="244"/>
      <c r="I17" s="244"/>
      <c r="J17" s="244"/>
      <c r="K17" s="244"/>
      <c r="L17" s="244"/>
      <c r="M17" s="244"/>
      <c r="N17" s="244"/>
      <c r="O17" s="244"/>
      <c r="P17" s="244"/>
      <c r="R17" s="352"/>
    </row>
    <row r="18" spans="1:18" ht="15.75" x14ac:dyDescent="0.2">
      <c r="A18" s="815"/>
      <c r="B18" s="119" t="s">
        <v>293</v>
      </c>
      <c r="C18" s="124" t="s">
        <v>145</v>
      </c>
      <c r="D18" s="243">
        <f>(D35+D69)*7000/(D39+D76)</f>
        <v>8183.8357464989367</v>
      </c>
      <c r="E18" s="244">
        <v>8185</v>
      </c>
      <c r="F18" s="244">
        <v>8185</v>
      </c>
      <c r="G18" s="244">
        <v>8185</v>
      </c>
      <c r="H18" s="244">
        <v>8185</v>
      </c>
      <c r="I18" s="244">
        <v>8185</v>
      </c>
      <c r="J18" s="244">
        <v>8185</v>
      </c>
      <c r="K18" s="244">
        <v>8185</v>
      </c>
      <c r="L18" s="244">
        <v>8185</v>
      </c>
      <c r="M18" s="244">
        <v>8185</v>
      </c>
      <c r="N18" s="244">
        <v>8185</v>
      </c>
      <c r="O18" s="244">
        <v>8185</v>
      </c>
      <c r="P18" s="354">
        <v>8185</v>
      </c>
      <c r="R18" s="352"/>
    </row>
    <row r="19" spans="1:18" ht="15.95" customHeight="1" x14ac:dyDescent="0.2">
      <c r="A19" s="815"/>
      <c r="B19" s="119" t="s">
        <v>132</v>
      </c>
      <c r="C19" s="124" t="s">
        <v>110</v>
      </c>
      <c r="D19" s="245">
        <f>(D36+D58+D62+D66+D70)*7000/(D40+D77)</f>
        <v>5199.9985820854745</v>
      </c>
      <c r="E19" s="246">
        <v>5200</v>
      </c>
      <c r="F19" s="246">
        <v>5200</v>
      </c>
      <c r="G19" s="246">
        <v>5200</v>
      </c>
      <c r="H19" s="246">
        <v>5200</v>
      </c>
      <c r="I19" s="246">
        <v>5200</v>
      </c>
      <c r="J19" s="246">
        <v>5200</v>
      </c>
      <c r="K19" s="246">
        <v>5200</v>
      </c>
      <c r="L19" s="246">
        <v>5200</v>
      </c>
      <c r="M19" s="246">
        <v>5200</v>
      </c>
      <c r="N19" s="246">
        <v>5200</v>
      </c>
      <c r="O19" s="246">
        <v>5200</v>
      </c>
      <c r="P19" s="355">
        <v>5200</v>
      </c>
      <c r="R19" s="352"/>
    </row>
    <row r="20" spans="1:18" ht="15.95" customHeight="1" x14ac:dyDescent="0.2">
      <c r="A20" s="815"/>
      <c r="B20" s="119" t="s">
        <v>133</v>
      </c>
      <c r="C20" s="124" t="s">
        <v>110</v>
      </c>
      <c r="D20" s="245">
        <f>(D37+D59+D63+D67+D71)*7000/(D41+D78)</f>
        <v>9800.0000000000018</v>
      </c>
      <c r="E20" s="246">
        <v>9800</v>
      </c>
      <c r="F20" s="246">
        <v>9800</v>
      </c>
      <c r="G20" s="246">
        <v>9800</v>
      </c>
      <c r="H20" s="246">
        <v>9800</v>
      </c>
      <c r="I20" s="246">
        <v>9800</v>
      </c>
      <c r="J20" s="246">
        <v>9800</v>
      </c>
      <c r="K20" s="246">
        <v>9800</v>
      </c>
      <c r="L20" s="246">
        <v>9800</v>
      </c>
      <c r="M20" s="246">
        <v>9800</v>
      </c>
      <c r="N20" s="246">
        <v>9800</v>
      </c>
      <c r="O20" s="246">
        <v>9800</v>
      </c>
      <c r="P20" s="246">
        <v>9800</v>
      </c>
      <c r="R20" s="352"/>
    </row>
    <row r="21" spans="1:18" ht="23.25" customHeight="1" thickBot="1" x14ac:dyDescent="0.25">
      <c r="A21" s="825"/>
      <c r="B21" s="121" t="s">
        <v>134</v>
      </c>
      <c r="C21" s="125" t="s">
        <v>110</v>
      </c>
      <c r="D21" s="247">
        <v>0</v>
      </c>
      <c r="E21" s="248">
        <f>D21</f>
        <v>0</v>
      </c>
      <c r="F21" s="248">
        <f t="shared" ref="F21:P21" si="4">E21</f>
        <v>0</v>
      </c>
      <c r="G21" s="248">
        <f t="shared" si="4"/>
        <v>0</v>
      </c>
      <c r="H21" s="248">
        <f t="shared" si="4"/>
        <v>0</v>
      </c>
      <c r="I21" s="248">
        <f t="shared" si="4"/>
        <v>0</v>
      </c>
      <c r="J21" s="248">
        <f t="shared" si="4"/>
        <v>0</v>
      </c>
      <c r="K21" s="248">
        <f t="shared" si="4"/>
        <v>0</v>
      </c>
      <c r="L21" s="248">
        <f t="shared" si="4"/>
        <v>0</v>
      </c>
      <c r="M21" s="248">
        <f t="shared" si="4"/>
        <v>0</v>
      </c>
      <c r="N21" s="248">
        <f t="shared" si="4"/>
        <v>0</v>
      </c>
      <c r="O21" s="248">
        <f t="shared" si="4"/>
        <v>0</v>
      </c>
      <c r="P21" s="249">
        <f t="shared" si="4"/>
        <v>0</v>
      </c>
      <c r="R21" s="352"/>
    </row>
    <row r="22" spans="1:18" ht="15.95" customHeight="1" x14ac:dyDescent="0.2">
      <c r="A22" s="824" t="s">
        <v>111</v>
      </c>
      <c r="B22" s="117" t="s">
        <v>129</v>
      </c>
      <c r="C22" s="118" t="s">
        <v>138</v>
      </c>
      <c r="D22" s="250">
        <f>IF(D15=0,0,D4/D15*7000)</f>
        <v>0</v>
      </c>
      <c r="E22" s="251">
        <f t="shared" ref="E22:P25" si="5">IF(E15=0,0,E4/E15*7000)</f>
        <v>0</v>
      </c>
      <c r="F22" s="251">
        <f t="shared" si="5"/>
        <v>0</v>
      </c>
      <c r="G22" s="251">
        <f t="shared" si="5"/>
        <v>0</v>
      </c>
      <c r="H22" s="251">
        <f t="shared" si="5"/>
        <v>0</v>
      </c>
      <c r="I22" s="251">
        <f t="shared" si="5"/>
        <v>0</v>
      </c>
      <c r="J22" s="251">
        <f t="shared" si="5"/>
        <v>0</v>
      </c>
      <c r="K22" s="251">
        <f t="shared" si="5"/>
        <v>0</v>
      </c>
      <c r="L22" s="251">
        <f t="shared" si="5"/>
        <v>0</v>
      </c>
      <c r="M22" s="251">
        <f t="shared" si="5"/>
        <v>0</v>
      </c>
      <c r="N22" s="251">
        <f t="shared" si="5"/>
        <v>0</v>
      </c>
      <c r="O22" s="251">
        <f t="shared" si="5"/>
        <v>0</v>
      </c>
      <c r="P22" s="252">
        <f t="shared" si="5"/>
        <v>0</v>
      </c>
      <c r="R22" s="352"/>
    </row>
    <row r="23" spans="1:18" ht="15.95" customHeight="1" x14ac:dyDescent="0.2">
      <c r="A23" s="815"/>
      <c r="B23" s="119" t="s">
        <v>130</v>
      </c>
      <c r="C23" s="120" t="s">
        <v>138</v>
      </c>
      <c r="D23" s="253">
        <f>IF(D16=0,0,D5/D16*7000)</f>
        <v>0</v>
      </c>
      <c r="E23" s="254">
        <f t="shared" si="5"/>
        <v>0</v>
      </c>
      <c r="F23" s="254">
        <f t="shared" si="5"/>
        <v>0</v>
      </c>
      <c r="G23" s="254">
        <f t="shared" si="5"/>
        <v>0</v>
      </c>
      <c r="H23" s="254">
        <f t="shared" si="5"/>
        <v>0</v>
      </c>
      <c r="I23" s="254">
        <f t="shared" si="5"/>
        <v>0</v>
      </c>
      <c r="J23" s="254">
        <f t="shared" si="5"/>
        <v>0</v>
      </c>
      <c r="K23" s="254">
        <f t="shared" si="5"/>
        <v>0</v>
      </c>
      <c r="L23" s="254">
        <f t="shared" si="5"/>
        <v>0</v>
      </c>
      <c r="M23" s="254">
        <f t="shared" si="5"/>
        <v>0</v>
      </c>
      <c r="N23" s="254">
        <f t="shared" si="5"/>
        <v>0</v>
      </c>
      <c r="O23" s="254">
        <f t="shared" si="5"/>
        <v>0</v>
      </c>
      <c r="P23" s="255">
        <f t="shared" si="5"/>
        <v>0</v>
      </c>
      <c r="R23" s="352"/>
    </row>
    <row r="24" spans="1:18" ht="15.95" customHeight="1" x14ac:dyDescent="0.2">
      <c r="A24" s="815"/>
      <c r="B24" s="119" t="s">
        <v>292</v>
      </c>
      <c r="C24" s="120" t="s">
        <v>138</v>
      </c>
      <c r="D24" s="253">
        <f>IF(D17=0,0,D6/D17*7000)</f>
        <v>0</v>
      </c>
      <c r="E24" s="254">
        <f t="shared" si="5"/>
        <v>0</v>
      </c>
      <c r="F24" s="254">
        <f t="shared" si="5"/>
        <v>0</v>
      </c>
      <c r="G24" s="254">
        <f t="shared" si="5"/>
        <v>0</v>
      </c>
      <c r="H24" s="254">
        <f t="shared" si="5"/>
        <v>0</v>
      </c>
      <c r="I24" s="254">
        <f t="shared" si="5"/>
        <v>0</v>
      </c>
      <c r="J24" s="254">
        <f t="shared" si="5"/>
        <v>0</v>
      </c>
      <c r="K24" s="254">
        <f t="shared" si="5"/>
        <v>0</v>
      </c>
      <c r="L24" s="254">
        <f t="shared" si="5"/>
        <v>0</v>
      </c>
      <c r="M24" s="254">
        <f t="shared" si="5"/>
        <v>0</v>
      </c>
      <c r="N24" s="254">
        <f t="shared" si="5"/>
        <v>0</v>
      </c>
      <c r="O24" s="254">
        <f t="shared" si="5"/>
        <v>0</v>
      </c>
      <c r="P24" s="255">
        <f t="shared" si="5"/>
        <v>0</v>
      </c>
      <c r="R24" s="352"/>
    </row>
    <row r="25" spans="1:18" x14ac:dyDescent="0.2">
      <c r="A25" s="815"/>
      <c r="B25" s="119" t="s">
        <v>293</v>
      </c>
      <c r="C25" s="120" t="s">
        <v>138</v>
      </c>
      <c r="D25" s="253">
        <f>IF(D18=0,0,D7/D18*7000)</f>
        <v>6058.0237143437171</v>
      </c>
      <c r="E25" s="254">
        <f t="shared" si="5"/>
        <v>6030.1343921808184</v>
      </c>
      <c r="F25" s="254">
        <f t="shared" si="5"/>
        <v>6030.1343921808184</v>
      </c>
      <c r="G25" s="254">
        <f t="shared" si="5"/>
        <v>6064.9419670128282</v>
      </c>
      <c r="H25" s="254">
        <f t="shared" si="5"/>
        <v>6035.2486255345148</v>
      </c>
      <c r="I25" s="254">
        <f t="shared" si="5"/>
        <v>6003.4514355528408</v>
      </c>
      <c r="J25" s="254">
        <f t="shared" si="5"/>
        <v>6330.676847892486</v>
      </c>
      <c r="K25" s="254">
        <f t="shared" si="5"/>
        <v>6201.7006719609035</v>
      </c>
      <c r="L25" s="254">
        <f t="shared" si="5"/>
        <v>6330.676847892486</v>
      </c>
      <c r="M25" s="254">
        <f t="shared" si="5"/>
        <v>6330.676847892486</v>
      </c>
      <c r="N25" s="254">
        <f t="shared" si="5"/>
        <v>5791.0054978619428</v>
      </c>
      <c r="O25" s="254">
        <f t="shared" si="5"/>
        <v>6151.3793524740377</v>
      </c>
      <c r="P25" s="255">
        <f t="shared" si="5"/>
        <v>5908.0256566890657</v>
      </c>
      <c r="R25" s="352"/>
    </row>
    <row r="26" spans="1:18" ht="15.95" customHeight="1" x14ac:dyDescent="0.2">
      <c r="A26" s="815"/>
      <c r="B26" s="119" t="s">
        <v>132</v>
      </c>
      <c r="C26" s="120" t="s">
        <v>138</v>
      </c>
      <c r="D26" s="253">
        <f>IF(D19=0,0,D10/D19*7000)</f>
        <v>2530.7699208491213</v>
      </c>
      <c r="E26" s="254">
        <f t="shared" ref="E26:P26" si="6">IF(E19=0,0,E10/E19*7000)</f>
        <v>2530.7692307692305</v>
      </c>
      <c r="F26" s="254">
        <f t="shared" si="6"/>
        <v>2530.7692307692305</v>
      </c>
      <c r="G26" s="254">
        <f t="shared" si="6"/>
        <v>2530.7692307692305</v>
      </c>
      <c r="H26" s="254">
        <f t="shared" si="6"/>
        <v>2530.7692307692305</v>
      </c>
      <c r="I26" s="254">
        <f t="shared" si="6"/>
        <v>2530.7692307692305</v>
      </c>
      <c r="J26" s="254">
        <f t="shared" si="6"/>
        <v>2530.7692307692305</v>
      </c>
      <c r="K26" s="254">
        <f t="shared" si="6"/>
        <v>2530.7692307692305</v>
      </c>
      <c r="L26" s="254">
        <f t="shared" si="6"/>
        <v>2530.7692307692305</v>
      </c>
      <c r="M26" s="254">
        <f t="shared" si="6"/>
        <v>2530.7692307692305</v>
      </c>
      <c r="N26" s="254">
        <f t="shared" si="6"/>
        <v>2530.7692307692305</v>
      </c>
      <c r="O26" s="254">
        <f t="shared" si="6"/>
        <v>2530.7692307692305</v>
      </c>
      <c r="P26" s="255">
        <f t="shared" si="6"/>
        <v>2530.7692307692305</v>
      </c>
      <c r="R26" s="352"/>
    </row>
    <row r="27" spans="1:18" ht="15.95" customHeight="1" x14ac:dyDescent="0.2">
      <c r="A27" s="815"/>
      <c r="B27" s="119" t="s">
        <v>133</v>
      </c>
      <c r="C27" s="120" t="s">
        <v>138</v>
      </c>
      <c r="D27" s="253">
        <f>IF(D20=0,0,D13/D20*7000)</f>
        <v>6680.7740524781329</v>
      </c>
      <c r="E27" s="254">
        <f t="shared" ref="E27:P28" si="7">IF(E20=0,0,E13/E20*7000)</f>
        <v>6534.2857142857138</v>
      </c>
      <c r="F27" s="254">
        <f t="shared" si="7"/>
        <v>6534.2857142857138</v>
      </c>
      <c r="G27" s="254">
        <f t="shared" si="7"/>
        <v>6534.2857142857138</v>
      </c>
      <c r="H27" s="254">
        <f t="shared" si="7"/>
        <v>6534.2857142857138</v>
      </c>
      <c r="I27" s="254">
        <f t="shared" si="7"/>
        <v>6773.5499999999993</v>
      </c>
      <c r="J27" s="254">
        <f t="shared" si="7"/>
        <v>6773.5499999999993</v>
      </c>
      <c r="K27" s="254">
        <f t="shared" si="7"/>
        <v>6773.5499999999993</v>
      </c>
      <c r="L27" s="254">
        <f t="shared" si="7"/>
        <v>6773.5499999999993</v>
      </c>
      <c r="M27" s="254">
        <f t="shared" si="7"/>
        <v>6773.5499999999993</v>
      </c>
      <c r="N27" s="254">
        <f t="shared" si="7"/>
        <v>6773.5499999999993</v>
      </c>
      <c r="O27" s="254">
        <f t="shared" si="7"/>
        <v>6773.5499999999993</v>
      </c>
      <c r="P27" s="255">
        <f t="shared" si="7"/>
        <v>6773.5499999999993</v>
      </c>
      <c r="R27" s="352"/>
    </row>
    <row r="28" spans="1:18" ht="15.95" customHeight="1" thickBot="1" x14ac:dyDescent="0.25">
      <c r="A28" s="815"/>
      <c r="B28" s="126" t="s">
        <v>134</v>
      </c>
      <c r="C28" s="127" t="s">
        <v>138</v>
      </c>
      <c r="D28" s="256">
        <f>IF(D21=0,0,D14/D21*7000)</f>
        <v>0</v>
      </c>
      <c r="E28" s="257">
        <f t="shared" si="7"/>
        <v>0</v>
      </c>
      <c r="F28" s="257">
        <f t="shared" si="7"/>
        <v>0</v>
      </c>
      <c r="G28" s="257">
        <f t="shared" si="7"/>
        <v>0</v>
      </c>
      <c r="H28" s="257">
        <f t="shared" si="7"/>
        <v>0</v>
      </c>
      <c r="I28" s="257">
        <f t="shared" si="7"/>
        <v>0</v>
      </c>
      <c r="J28" s="257">
        <f t="shared" si="7"/>
        <v>0</v>
      </c>
      <c r="K28" s="257">
        <f t="shared" si="7"/>
        <v>0</v>
      </c>
      <c r="L28" s="257">
        <f t="shared" si="7"/>
        <v>0</v>
      </c>
      <c r="M28" s="257">
        <f t="shared" si="7"/>
        <v>0</v>
      </c>
      <c r="N28" s="257">
        <f t="shared" si="7"/>
        <v>0</v>
      </c>
      <c r="O28" s="257">
        <f t="shared" si="7"/>
        <v>0</v>
      </c>
      <c r="P28" s="258">
        <f t="shared" si="7"/>
        <v>0</v>
      </c>
      <c r="R28" s="352"/>
    </row>
    <row r="29" spans="1:18" ht="15.95" customHeight="1" x14ac:dyDescent="0.2">
      <c r="A29" s="814"/>
      <c r="B29" s="128" t="s">
        <v>139</v>
      </c>
      <c r="C29" s="227" t="s">
        <v>138</v>
      </c>
      <c r="D29" s="250">
        <f>IF(D34=0,0,D47/D34)</f>
        <v>2553.0326110000306</v>
      </c>
      <c r="E29" s="251">
        <f t="shared" ref="E29:P29" si="8">IF(E34=0,0,E47/E34)</f>
        <v>2553.3745756818025</v>
      </c>
      <c r="F29" s="251">
        <f t="shared" si="8"/>
        <v>2556.8427222160426</v>
      </c>
      <c r="G29" s="251">
        <f t="shared" si="8"/>
        <v>2554.5661462513403</v>
      </c>
      <c r="H29" s="251">
        <f t="shared" si="8"/>
        <v>2557.153671718685</v>
      </c>
      <c r="I29" s="251">
        <f t="shared" si="8"/>
        <v>2556.3282468070511</v>
      </c>
      <c r="J29" s="251">
        <f t="shared" si="8"/>
        <v>2545.0903588888923</v>
      </c>
      <c r="K29" s="251">
        <f t="shared" si="8"/>
        <v>2548.4185152077534</v>
      </c>
      <c r="L29" s="251">
        <f t="shared" si="8"/>
        <v>2546.5689196897524</v>
      </c>
      <c r="M29" s="251">
        <f t="shared" si="8"/>
        <v>2547.5082830544275</v>
      </c>
      <c r="N29" s="251">
        <f t="shared" si="8"/>
        <v>2562.8392443140797</v>
      </c>
      <c r="O29" s="251">
        <f t="shared" si="8"/>
        <v>2552.349516269815</v>
      </c>
      <c r="P29" s="252">
        <f t="shared" si="8"/>
        <v>2558.4711644117706</v>
      </c>
      <c r="R29" s="352"/>
    </row>
    <row r="30" spans="1:18" ht="15.95" customHeight="1" thickBot="1" x14ac:dyDescent="0.25">
      <c r="A30" s="816"/>
      <c r="B30" s="129" t="s">
        <v>140</v>
      </c>
      <c r="C30" s="228" t="s">
        <v>138</v>
      </c>
      <c r="D30" s="256">
        <f>IF(D55=0,0,D91/D55)</f>
        <v>2555.7712904420609</v>
      </c>
      <c r="E30" s="257">
        <f t="shared" ref="E30:P30" si="9">IF(E55=0,0,E91/E55)</f>
        <v>2553.5738063106487</v>
      </c>
      <c r="F30" s="257">
        <f t="shared" si="9"/>
        <v>2556.9585015387561</v>
      </c>
      <c r="G30" s="257">
        <f t="shared" si="9"/>
        <v>2555.0411364406846</v>
      </c>
      <c r="H30" s="257">
        <f t="shared" si="9"/>
        <v>2559.0157154673279</v>
      </c>
      <c r="I30" s="257">
        <f t="shared" si="9"/>
        <v>2560.4207758053908</v>
      </c>
      <c r="J30" s="257">
        <f t="shared" si="9"/>
        <v>2547.8245736164286</v>
      </c>
      <c r="K30" s="257">
        <f t="shared" si="9"/>
        <v>2551.856763925729</v>
      </c>
      <c r="L30" s="257">
        <f t="shared" si="9"/>
        <v>2552.4314765694071</v>
      </c>
      <c r="M30" s="257">
        <f t="shared" si="9"/>
        <v>2546.9461868603494</v>
      </c>
      <c r="N30" s="257">
        <f t="shared" si="9"/>
        <v>2564.3585330332317</v>
      </c>
      <c r="O30" s="257">
        <f t="shared" si="9"/>
        <v>2551.9768822272499</v>
      </c>
      <c r="P30" s="258">
        <f t="shared" si="9"/>
        <v>2559.1968815628811</v>
      </c>
      <c r="R30" s="352"/>
    </row>
    <row r="31" spans="1:18" ht="15.95" customHeight="1" thickBot="1" x14ac:dyDescent="0.25">
      <c r="A31" s="797" t="s">
        <v>112</v>
      </c>
      <c r="B31" s="798"/>
      <c r="C31" s="798"/>
      <c r="D31" s="798"/>
      <c r="E31" s="798"/>
      <c r="F31" s="798"/>
      <c r="G31" s="798"/>
      <c r="H31" s="798"/>
      <c r="I31" s="798"/>
      <c r="J31" s="798"/>
      <c r="K31" s="798"/>
      <c r="L31" s="798"/>
      <c r="M31" s="798"/>
      <c r="N31" s="798"/>
      <c r="O31" s="798"/>
      <c r="P31" s="799"/>
      <c r="R31" s="352"/>
    </row>
    <row r="32" spans="1:18" ht="15.75" customHeight="1" thickBot="1" x14ac:dyDescent="0.25">
      <c r="A32" s="793" t="s">
        <v>161</v>
      </c>
      <c r="B32" s="794"/>
      <c r="C32" s="229" t="s">
        <v>160</v>
      </c>
      <c r="D32" s="259">
        <f>SUM(E32:P32)</f>
        <v>4380.3999999999996</v>
      </c>
      <c r="E32" s="260">
        <v>372.5</v>
      </c>
      <c r="F32" s="260">
        <v>322.7</v>
      </c>
      <c r="G32" s="260">
        <v>342.4</v>
      </c>
      <c r="H32" s="260">
        <v>317.5</v>
      </c>
      <c r="I32" s="260">
        <v>343.3</v>
      </c>
      <c r="J32" s="260">
        <v>435.5</v>
      </c>
      <c r="K32" s="260">
        <v>389.3</v>
      </c>
      <c r="L32" s="260">
        <v>389.3</v>
      </c>
      <c r="M32" s="260">
        <v>376.2</v>
      </c>
      <c r="N32" s="260">
        <v>388.8</v>
      </c>
      <c r="O32" s="260">
        <v>345.7</v>
      </c>
      <c r="P32" s="261">
        <v>357.2</v>
      </c>
      <c r="Q32" s="367"/>
      <c r="R32" s="352"/>
    </row>
    <row r="33" spans="1:18" ht="15.95" customHeight="1" thickBot="1" x14ac:dyDescent="0.25">
      <c r="A33" s="795" t="s">
        <v>147</v>
      </c>
      <c r="B33" s="796"/>
      <c r="C33" s="130" t="s">
        <v>113</v>
      </c>
      <c r="D33" s="262">
        <f>IF(D32=0,0,D34/D32*1000)</f>
        <v>383.00771619030229</v>
      </c>
      <c r="E33" s="263">
        <v>384.8</v>
      </c>
      <c r="F33" s="263">
        <v>385.1</v>
      </c>
      <c r="G33" s="263">
        <v>382.2</v>
      </c>
      <c r="H33" s="263">
        <v>381.1</v>
      </c>
      <c r="I33" s="263">
        <v>380.9</v>
      </c>
      <c r="J33" s="263">
        <v>378.9</v>
      </c>
      <c r="K33" s="263">
        <v>383.9</v>
      </c>
      <c r="L33" s="263">
        <v>384.2</v>
      </c>
      <c r="M33" s="263">
        <v>384.7</v>
      </c>
      <c r="N33" s="263">
        <v>382.5</v>
      </c>
      <c r="O33" s="263">
        <v>384.3</v>
      </c>
      <c r="P33" s="264">
        <v>384</v>
      </c>
      <c r="Q33" s="367"/>
      <c r="R33" s="352"/>
    </row>
    <row r="34" spans="1:18" ht="26.25" customHeight="1" x14ac:dyDescent="0.2">
      <c r="A34" s="813" t="s">
        <v>143</v>
      </c>
      <c r="B34" s="128" t="s">
        <v>148</v>
      </c>
      <c r="C34" s="227" t="s">
        <v>158</v>
      </c>
      <c r="D34" s="265">
        <f>SUM(E34:P34)</f>
        <v>1677.7269999999999</v>
      </c>
      <c r="E34" s="266">
        <f>ROUND(E32*E33/1000,3)</f>
        <v>143.33799999999999</v>
      </c>
      <c r="F34" s="266">
        <f t="shared" ref="F34:P34" si="10">ROUND(F32*F33/1000,3)</f>
        <v>124.27200000000001</v>
      </c>
      <c r="G34" s="266">
        <f t="shared" si="10"/>
        <v>130.86500000000001</v>
      </c>
      <c r="H34" s="266">
        <f t="shared" si="10"/>
        <v>120.999</v>
      </c>
      <c r="I34" s="266">
        <f t="shared" si="10"/>
        <v>130.76300000000001</v>
      </c>
      <c r="J34" s="266">
        <f t="shared" si="10"/>
        <v>165.011</v>
      </c>
      <c r="K34" s="266">
        <f t="shared" si="10"/>
        <v>149.452</v>
      </c>
      <c r="L34" s="266">
        <f t="shared" si="10"/>
        <v>149.56899999999999</v>
      </c>
      <c r="M34" s="266">
        <f t="shared" si="10"/>
        <v>144.72399999999999</v>
      </c>
      <c r="N34" s="266">
        <f t="shared" si="10"/>
        <v>148.71600000000001</v>
      </c>
      <c r="O34" s="266">
        <f t="shared" si="10"/>
        <v>132.85300000000001</v>
      </c>
      <c r="P34" s="267">
        <f t="shared" si="10"/>
        <v>137.16499999999999</v>
      </c>
      <c r="R34" s="352"/>
    </row>
    <row r="35" spans="1:18" ht="18" customHeight="1" x14ac:dyDescent="0.2">
      <c r="A35" s="814"/>
      <c r="B35" s="131" t="s">
        <v>144</v>
      </c>
      <c r="C35" s="120" t="s">
        <v>158</v>
      </c>
      <c r="D35" s="268">
        <f>SUM(E35:P35)</f>
        <v>9.7900000000000063</v>
      </c>
      <c r="E35" s="269">
        <f>E34-E36-E37-E38</f>
        <v>0.84699999999999687</v>
      </c>
      <c r="F35" s="269">
        <f>F34-F36-F37-F38</f>
        <v>0.84699999999999687</v>
      </c>
      <c r="G35" s="269">
        <f t="shared" ref="G35:P35" si="11">G34-G36-G37-G38</f>
        <v>0.80300000000001415</v>
      </c>
      <c r="H35" s="269">
        <f t="shared" si="11"/>
        <v>0.84699999999999154</v>
      </c>
      <c r="I35" s="269">
        <f t="shared" si="11"/>
        <v>0.894000000000017</v>
      </c>
      <c r="J35" s="269">
        <f t="shared" si="11"/>
        <v>0.57499999999999019</v>
      </c>
      <c r="K35" s="269">
        <f t="shared" si="11"/>
        <v>0.66999999999998905</v>
      </c>
      <c r="L35" s="269">
        <f t="shared" si="11"/>
        <v>0.57499999999999019</v>
      </c>
      <c r="M35" s="269">
        <f t="shared" si="11"/>
        <v>0.57500000000000018</v>
      </c>
      <c r="N35" s="269">
        <f t="shared" si="11"/>
        <v>1.3899999999999979</v>
      </c>
      <c r="O35" s="269">
        <f t="shared" si="11"/>
        <v>0.71100000000002961</v>
      </c>
      <c r="P35" s="270">
        <f t="shared" si="11"/>
        <v>1.0559999999999901</v>
      </c>
      <c r="R35" s="352"/>
    </row>
    <row r="36" spans="1:18" ht="21.75" customHeight="1" x14ac:dyDescent="0.2">
      <c r="A36" s="814"/>
      <c r="B36" s="131" t="s">
        <v>115</v>
      </c>
      <c r="C36" s="120" t="s">
        <v>158</v>
      </c>
      <c r="D36" s="268">
        <f t="shared" ref="D36:D46" si="12">SUM(E36:P36)</f>
        <v>1667.2560000000003</v>
      </c>
      <c r="E36" s="271">
        <f>144.121-E70</f>
        <v>142.422</v>
      </c>
      <c r="F36" s="271">
        <f>124.834-F70</f>
        <v>123.35600000000001</v>
      </c>
      <c r="G36" s="271">
        <f>131.313-G70</f>
        <v>129.99299999999999</v>
      </c>
      <c r="H36" s="271">
        <f>120.465-H70</f>
        <v>120.096</v>
      </c>
      <c r="I36" s="271">
        <f>130.045-I70</f>
        <v>129.81299999999999</v>
      </c>
      <c r="J36" s="271">
        <f>164.614-J70</f>
        <v>164.39400000000001</v>
      </c>
      <c r="K36" s="271">
        <f>148.913-K70</f>
        <v>148.74</v>
      </c>
      <c r="L36" s="271">
        <f>149.125-L70</f>
        <v>148.952</v>
      </c>
      <c r="M36" s="271">
        <f>144.325-M70</f>
        <v>144.09299999999999</v>
      </c>
      <c r="N36" s="271">
        <f>147.845-N70</f>
        <v>147.27000000000001</v>
      </c>
      <c r="O36" s="271">
        <f>133.29-O70</f>
        <v>132.07299999999998</v>
      </c>
      <c r="P36" s="272">
        <f>137.616-P70</f>
        <v>136.054</v>
      </c>
      <c r="Q36" s="353"/>
      <c r="R36" s="352"/>
    </row>
    <row r="37" spans="1:18" ht="19.5" customHeight="1" x14ac:dyDescent="0.2">
      <c r="A37" s="814"/>
      <c r="B37" s="131" t="s">
        <v>116</v>
      </c>
      <c r="C37" s="120" t="s">
        <v>158</v>
      </c>
      <c r="D37" s="268">
        <f>SUM(E37:P37)</f>
        <v>0.68100000000000016</v>
      </c>
      <c r="E37" s="271">
        <f>0.07-E71</f>
        <v>6.9000000000000006E-2</v>
      </c>
      <c r="F37" s="271">
        <f>0.07-F71</f>
        <v>6.9000000000000006E-2</v>
      </c>
      <c r="G37" s="271">
        <f>0.07-G71</f>
        <v>6.9000000000000006E-2</v>
      </c>
      <c r="H37" s="271">
        <f>0.056-H71</f>
        <v>5.6000000000000001E-2</v>
      </c>
      <c r="I37" s="271">
        <f>0.056-I71</f>
        <v>5.6000000000000001E-2</v>
      </c>
      <c r="J37" s="271">
        <f>0.042-J71</f>
        <v>4.2000000000000003E-2</v>
      </c>
      <c r="K37" s="271">
        <f>0.042-K71</f>
        <v>4.2000000000000003E-2</v>
      </c>
      <c r="L37" s="271">
        <f>0.042-L71</f>
        <v>4.2000000000000003E-2</v>
      </c>
      <c r="M37" s="271">
        <f>0.056-M71</f>
        <v>5.6000000000000001E-2</v>
      </c>
      <c r="N37" s="271">
        <f>0.056-N71</f>
        <v>5.6000000000000001E-2</v>
      </c>
      <c r="O37" s="271">
        <f>0.07-O71</f>
        <v>6.9000000000000006E-2</v>
      </c>
      <c r="P37" s="272">
        <f>0.056-P71</f>
        <v>5.5E-2</v>
      </c>
      <c r="Q37" s="368"/>
      <c r="R37" s="352"/>
    </row>
    <row r="38" spans="1:18" ht="22.5" customHeight="1" thickBot="1" x14ac:dyDescent="0.25">
      <c r="A38" s="816"/>
      <c r="B38" s="132" t="s">
        <v>117</v>
      </c>
      <c r="C38" s="122" t="s">
        <v>158</v>
      </c>
      <c r="D38" s="273">
        <f t="shared" si="12"/>
        <v>0</v>
      </c>
      <c r="E38" s="274">
        <v>0</v>
      </c>
      <c r="F38" s="274">
        <v>0</v>
      </c>
      <c r="G38" s="274">
        <v>0</v>
      </c>
      <c r="H38" s="274">
        <v>0</v>
      </c>
      <c r="I38" s="274">
        <v>0</v>
      </c>
      <c r="J38" s="274">
        <v>0</v>
      </c>
      <c r="K38" s="274">
        <v>0</v>
      </c>
      <c r="L38" s="274">
        <v>0</v>
      </c>
      <c r="M38" s="274">
        <v>0</v>
      </c>
      <c r="N38" s="274">
        <v>0</v>
      </c>
      <c r="O38" s="274">
        <v>0</v>
      </c>
      <c r="P38" s="275">
        <v>0</v>
      </c>
      <c r="R38" s="352"/>
    </row>
    <row r="39" spans="1:18" ht="22.5" customHeight="1" x14ac:dyDescent="0.2">
      <c r="A39" s="813" t="s">
        <v>118</v>
      </c>
      <c r="B39" s="133" t="s">
        <v>146</v>
      </c>
      <c r="C39" s="123" t="s">
        <v>157</v>
      </c>
      <c r="D39" s="276">
        <f t="shared" si="12"/>
        <v>8.3719999999999999</v>
      </c>
      <c r="E39" s="277">
        <f>ROUND((IF(E18=0,0,E35*7000/E18)),3)</f>
        <v>0.72399999999999998</v>
      </c>
      <c r="F39" s="277">
        <f t="shared" ref="F39:P39" si="13">ROUND((IF(F18=0,0,F35*7000/F18)),3)</f>
        <v>0.72399999999999998</v>
      </c>
      <c r="G39" s="277">
        <f t="shared" si="13"/>
        <v>0.68700000000000006</v>
      </c>
      <c r="H39" s="277">
        <f t="shared" si="13"/>
        <v>0.72399999999999998</v>
      </c>
      <c r="I39" s="277">
        <f>ROUND((IF(I18=0,0,I35*7000/I18)),3)-0.001</f>
        <v>0.76400000000000001</v>
      </c>
      <c r="J39" s="277">
        <f t="shared" si="13"/>
        <v>0.49199999999999999</v>
      </c>
      <c r="K39" s="277">
        <f t="shared" si="13"/>
        <v>0.57299999999999995</v>
      </c>
      <c r="L39" s="277">
        <f t="shared" si="13"/>
        <v>0.49199999999999999</v>
      </c>
      <c r="M39" s="277">
        <f t="shared" si="13"/>
        <v>0.49199999999999999</v>
      </c>
      <c r="N39" s="277">
        <f t="shared" si="13"/>
        <v>1.1890000000000001</v>
      </c>
      <c r="O39" s="277">
        <f t="shared" si="13"/>
        <v>0.60799999999999998</v>
      </c>
      <c r="P39" s="277">
        <f t="shared" si="13"/>
        <v>0.90300000000000002</v>
      </c>
      <c r="Q39" s="365"/>
      <c r="R39" s="352"/>
    </row>
    <row r="40" spans="1:18" ht="19.5" customHeight="1" x14ac:dyDescent="0.2">
      <c r="A40" s="814"/>
      <c r="B40" s="134" t="s">
        <v>132</v>
      </c>
      <c r="C40" s="120" t="s">
        <v>80</v>
      </c>
      <c r="D40" s="278">
        <f t="shared" si="12"/>
        <v>2244.3836153846155</v>
      </c>
      <c r="E40" s="279">
        <f>ROUND((IF(E19=0,0,E36*7000/E19)),3)</f>
        <v>191.72200000000001</v>
      </c>
      <c r="F40" s="279">
        <f t="shared" ref="F40:K40" si="14">ROUND((IF(F19=0,0,F36*7000/F19)),3)</f>
        <v>166.05600000000001</v>
      </c>
      <c r="G40" s="279">
        <f>ROUND((IF(G19=0,0,G36*7000/G19)),3)</f>
        <v>174.99100000000001</v>
      </c>
      <c r="H40" s="279">
        <f t="shared" si="14"/>
        <v>161.66800000000001</v>
      </c>
      <c r="I40" s="279">
        <f t="shared" si="14"/>
        <v>174.74799999999999</v>
      </c>
      <c r="J40" s="279">
        <f>ROUND((IF(J19=0,0,J36*7000/J19)),3)+0.001</f>
        <v>221.30100000000002</v>
      </c>
      <c r="K40" s="279">
        <f t="shared" si="14"/>
        <v>200.227</v>
      </c>
      <c r="L40" s="279">
        <f>ROUND((IF(L19=0,0,L36*7000/L19)),3)</f>
        <v>200.512</v>
      </c>
      <c r="M40" s="279">
        <f>IF(M19=0,0,M36*7000/M19)-0.001</f>
        <v>193.97034615384612</v>
      </c>
      <c r="N40" s="279">
        <f>IF(N19=0,0,N36*7000/N19)</f>
        <v>198.24807692307695</v>
      </c>
      <c r="O40" s="279">
        <f>IF(O19=0,0,O36*7000/O19)</f>
        <v>177.79057692307691</v>
      </c>
      <c r="P40" s="279">
        <f>IF(P19=0,0,P36*7000/P19)</f>
        <v>183.14961538461537</v>
      </c>
      <c r="Q40" s="365"/>
      <c r="R40" s="352"/>
    </row>
    <row r="41" spans="1:18" ht="19.5" customHeight="1" x14ac:dyDescent="0.2">
      <c r="A41" s="814"/>
      <c r="B41" s="134" t="s">
        <v>133</v>
      </c>
      <c r="C41" s="120" t="s">
        <v>80</v>
      </c>
      <c r="D41" s="359">
        <f t="shared" si="12"/>
        <v>0.48499999999999999</v>
      </c>
      <c r="E41" s="360">
        <f>ROUND((IF(E20=0,0,E37*7000/E20)),3)</f>
        <v>4.9000000000000002E-2</v>
      </c>
      <c r="F41" s="360">
        <f t="shared" ref="F41:P41" si="15">ROUND((IF(F20=0,0,F37*7000/F20)),3)</f>
        <v>4.9000000000000002E-2</v>
      </c>
      <c r="G41" s="360">
        <f t="shared" si="15"/>
        <v>4.9000000000000002E-2</v>
      </c>
      <c r="H41" s="360">
        <f t="shared" si="15"/>
        <v>0.04</v>
      </c>
      <c r="I41" s="360">
        <f t="shared" si="15"/>
        <v>0.04</v>
      </c>
      <c r="J41" s="360">
        <f t="shared" si="15"/>
        <v>0.03</v>
      </c>
      <c r="K41" s="360">
        <f t="shared" si="15"/>
        <v>0.03</v>
      </c>
      <c r="L41" s="360">
        <f t="shared" si="15"/>
        <v>0.03</v>
      </c>
      <c r="M41" s="360">
        <f t="shared" si="15"/>
        <v>0.04</v>
      </c>
      <c r="N41" s="360">
        <f t="shared" si="15"/>
        <v>0.04</v>
      </c>
      <c r="O41" s="360">
        <f t="shared" si="15"/>
        <v>4.9000000000000002E-2</v>
      </c>
      <c r="P41" s="360">
        <f t="shared" si="15"/>
        <v>3.9E-2</v>
      </c>
      <c r="Q41" s="365"/>
      <c r="R41" s="352"/>
    </row>
    <row r="42" spans="1:18" ht="18.75" customHeight="1" thickBot="1" x14ac:dyDescent="0.25">
      <c r="A42" s="816"/>
      <c r="B42" s="135" t="s">
        <v>134</v>
      </c>
      <c r="C42" s="125" t="s">
        <v>157</v>
      </c>
      <c r="D42" s="273">
        <f t="shared" si="12"/>
        <v>0</v>
      </c>
      <c r="E42" s="357">
        <f t="shared" ref="E42:P42" si="16">IF(E21=0,0,E38*7000/E21)</f>
        <v>0</v>
      </c>
      <c r="F42" s="357">
        <f t="shared" si="16"/>
        <v>0</v>
      </c>
      <c r="G42" s="357">
        <f t="shared" si="16"/>
        <v>0</v>
      </c>
      <c r="H42" s="357">
        <f t="shared" si="16"/>
        <v>0</v>
      </c>
      <c r="I42" s="357">
        <f t="shared" si="16"/>
        <v>0</v>
      </c>
      <c r="J42" s="357">
        <f t="shared" si="16"/>
        <v>0</v>
      </c>
      <c r="K42" s="357">
        <f t="shared" si="16"/>
        <v>0</v>
      </c>
      <c r="L42" s="357">
        <f t="shared" si="16"/>
        <v>0</v>
      </c>
      <c r="M42" s="357">
        <f t="shared" si="16"/>
        <v>0</v>
      </c>
      <c r="N42" s="357">
        <f t="shared" si="16"/>
        <v>0</v>
      </c>
      <c r="O42" s="357">
        <f t="shared" si="16"/>
        <v>0</v>
      </c>
      <c r="P42" s="358">
        <f t="shared" si="16"/>
        <v>0</v>
      </c>
      <c r="Q42" s="366"/>
      <c r="R42" s="352"/>
    </row>
    <row r="43" spans="1:18" ht="21.75" customHeight="1" x14ac:dyDescent="0.2">
      <c r="A43" s="813" t="s">
        <v>119</v>
      </c>
      <c r="B43" s="133" t="s">
        <v>146</v>
      </c>
      <c r="C43" s="118" t="s">
        <v>77</v>
      </c>
      <c r="D43" s="280">
        <f>SUM(E43:P43)</f>
        <v>59301.697697006741</v>
      </c>
      <c r="E43" s="281">
        <f t="shared" ref="E43:P46" si="17">E35*E25</f>
        <v>5107.5238301771342</v>
      </c>
      <c r="F43" s="281">
        <f t="shared" si="17"/>
        <v>5107.5238301771342</v>
      </c>
      <c r="G43" s="281">
        <f t="shared" si="17"/>
        <v>4870.1483995113867</v>
      </c>
      <c r="H43" s="281">
        <f t="shared" si="17"/>
        <v>5111.8555858276832</v>
      </c>
      <c r="I43" s="281">
        <f t="shared" si="17"/>
        <v>5367.0855833843416</v>
      </c>
      <c r="J43" s="281">
        <f t="shared" si="17"/>
        <v>3640.1391875381173</v>
      </c>
      <c r="K43" s="281">
        <f t="shared" si="17"/>
        <v>4155.1394502137373</v>
      </c>
      <c r="L43" s="281">
        <f t="shared" si="17"/>
        <v>3640.1391875381173</v>
      </c>
      <c r="M43" s="281">
        <f t="shared" si="17"/>
        <v>3640.1391875381805</v>
      </c>
      <c r="N43" s="281">
        <f t="shared" si="17"/>
        <v>8049.4976420280882</v>
      </c>
      <c r="O43" s="281">
        <f t="shared" si="17"/>
        <v>4373.630719609223</v>
      </c>
      <c r="P43" s="282">
        <f t="shared" si="17"/>
        <v>6238.8750934635946</v>
      </c>
      <c r="R43" s="352"/>
    </row>
    <row r="44" spans="1:18" ht="25.5" customHeight="1" x14ac:dyDescent="0.2">
      <c r="A44" s="814"/>
      <c r="B44" s="134" t="s">
        <v>132</v>
      </c>
      <c r="C44" s="120" t="s">
        <v>77</v>
      </c>
      <c r="D44" s="283">
        <f t="shared" si="12"/>
        <v>4219440.1846153848</v>
      </c>
      <c r="E44" s="284">
        <f t="shared" si="17"/>
        <v>360437.21538461535</v>
      </c>
      <c r="F44" s="284">
        <f t="shared" si="17"/>
        <v>312185.56923076924</v>
      </c>
      <c r="G44" s="284">
        <f t="shared" si="17"/>
        <v>328982.28461538459</v>
      </c>
      <c r="H44" s="284">
        <f t="shared" si="17"/>
        <v>303935.26153846149</v>
      </c>
      <c r="I44" s="284">
        <f t="shared" si="17"/>
        <v>328526.74615384609</v>
      </c>
      <c r="J44" s="284">
        <f t="shared" si="17"/>
        <v>416043.27692307689</v>
      </c>
      <c r="K44" s="284">
        <f t="shared" si="17"/>
        <v>376426.61538461538</v>
      </c>
      <c r="L44" s="284">
        <f t="shared" si="17"/>
        <v>376963.13846153842</v>
      </c>
      <c r="M44" s="284">
        <f t="shared" si="17"/>
        <v>364666.13076923072</v>
      </c>
      <c r="N44" s="284">
        <f t="shared" si="17"/>
        <v>372706.38461538462</v>
      </c>
      <c r="O44" s="284">
        <f t="shared" si="17"/>
        <v>334246.28461538453</v>
      </c>
      <c r="P44" s="285">
        <f t="shared" si="17"/>
        <v>344321.27692307689</v>
      </c>
      <c r="R44" s="352"/>
    </row>
    <row r="45" spans="1:18" ht="27.75" customHeight="1" x14ac:dyDescent="0.2">
      <c r="A45" s="814"/>
      <c r="B45" s="134" t="s">
        <v>133</v>
      </c>
      <c r="C45" s="120" t="s">
        <v>77</v>
      </c>
      <c r="D45" s="283">
        <f t="shared" si="12"/>
        <v>4549.8610428571428</v>
      </c>
      <c r="E45" s="284">
        <f t="shared" si="17"/>
        <v>450.86571428571426</v>
      </c>
      <c r="F45" s="284">
        <f t="shared" si="17"/>
        <v>450.86571428571426</v>
      </c>
      <c r="G45" s="284">
        <f t="shared" si="17"/>
        <v>450.86571428571426</v>
      </c>
      <c r="H45" s="284">
        <f t="shared" si="17"/>
        <v>365.91999999999996</v>
      </c>
      <c r="I45" s="284">
        <f t="shared" si="17"/>
        <v>379.31879999999995</v>
      </c>
      <c r="J45" s="284">
        <f t="shared" si="17"/>
        <v>284.48910000000001</v>
      </c>
      <c r="K45" s="284">
        <f t="shared" si="17"/>
        <v>284.48910000000001</v>
      </c>
      <c r="L45" s="284">
        <f t="shared" si="17"/>
        <v>284.48910000000001</v>
      </c>
      <c r="M45" s="284">
        <f t="shared" si="17"/>
        <v>379.31879999999995</v>
      </c>
      <c r="N45" s="284">
        <f t="shared" si="17"/>
        <v>379.31879999999995</v>
      </c>
      <c r="O45" s="284">
        <f t="shared" si="17"/>
        <v>467.37495000000001</v>
      </c>
      <c r="P45" s="285">
        <f t="shared" si="17"/>
        <v>372.54524999999995</v>
      </c>
      <c r="R45" s="352"/>
    </row>
    <row r="46" spans="1:18" ht="24.75" customHeight="1" x14ac:dyDescent="0.2">
      <c r="A46" s="814"/>
      <c r="B46" s="134" t="s">
        <v>134</v>
      </c>
      <c r="C46" s="120" t="s">
        <v>77</v>
      </c>
      <c r="D46" s="283">
        <f t="shared" si="12"/>
        <v>0</v>
      </c>
      <c r="E46" s="284">
        <f t="shared" si="17"/>
        <v>0</v>
      </c>
      <c r="F46" s="284">
        <f t="shared" si="17"/>
        <v>0</v>
      </c>
      <c r="G46" s="284">
        <f t="shared" si="17"/>
        <v>0</v>
      </c>
      <c r="H46" s="284">
        <f t="shared" si="17"/>
        <v>0</v>
      </c>
      <c r="I46" s="284">
        <f t="shared" si="17"/>
        <v>0</v>
      </c>
      <c r="J46" s="284">
        <f t="shared" si="17"/>
        <v>0</v>
      </c>
      <c r="K46" s="284">
        <f t="shared" si="17"/>
        <v>0</v>
      </c>
      <c r="L46" s="284">
        <f t="shared" si="17"/>
        <v>0</v>
      </c>
      <c r="M46" s="284">
        <f t="shared" si="17"/>
        <v>0</v>
      </c>
      <c r="N46" s="284">
        <f t="shared" si="17"/>
        <v>0</v>
      </c>
      <c r="O46" s="284">
        <f t="shared" si="17"/>
        <v>0</v>
      </c>
      <c r="P46" s="285">
        <f t="shared" si="17"/>
        <v>0</v>
      </c>
      <c r="R46" s="352"/>
    </row>
    <row r="47" spans="1:18" ht="24.75" customHeight="1" thickBot="1" x14ac:dyDescent="0.25">
      <c r="A47" s="816"/>
      <c r="B47" s="136" t="s">
        <v>114</v>
      </c>
      <c r="C47" s="228" t="s">
        <v>77</v>
      </c>
      <c r="D47" s="286">
        <f>SUM(E47:P47)</f>
        <v>4283291.7433552481</v>
      </c>
      <c r="E47" s="287">
        <f t="shared" ref="E47:P47" si="18">SUM(E43:E46)</f>
        <v>365995.6049290782</v>
      </c>
      <c r="F47" s="287">
        <f t="shared" si="18"/>
        <v>317743.95877523208</v>
      </c>
      <c r="G47" s="287">
        <f t="shared" si="18"/>
        <v>334303.2987291817</v>
      </c>
      <c r="H47" s="287">
        <f t="shared" si="18"/>
        <v>309413.03712428914</v>
      </c>
      <c r="I47" s="287">
        <f t="shared" si="18"/>
        <v>334273.15053723042</v>
      </c>
      <c r="J47" s="287">
        <f t="shared" si="18"/>
        <v>419967.90521061502</v>
      </c>
      <c r="K47" s="287">
        <f t="shared" si="18"/>
        <v>380866.24393482914</v>
      </c>
      <c r="L47" s="287">
        <f t="shared" si="18"/>
        <v>380887.76674907655</v>
      </c>
      <c r="M47" s="287">
        <f t="shared" si="18"/>
        <v>368685.58875676891</v>
      </c>
      <c r="N47" s="287">
        <f t="shared" si="18"/>
        <v>381135.20105741272</v>
      </c>
      <c r="O47" s="287">
        <f t="shared" si="18"/>
        <v>339087.29028499377</v>
      </c>
      <c r="P47" s="288">
        <f t="shared" si="18"/>
        <v>350932.69726654049</v>
      </c>
      <c r="R47" s="352"/>
    </row>
    <row r="48" spans="1:18" ht="15.95" customHeight="1" thickBot="1" x14ac:dyDescent="0.25">
      <c r="A48" s="797" t="s">
        <v>120</v>
      </c>
      <c r="B48" s="798"/>
      <c r="C48" s="798"/>
      <c r="D48" s="798"/>
      <c r="E48" s="798"/>
      <c r="F48" s="798"/>
      <c r="G48" s="798"/>
      <c r="H48" s="798"/>
      <c r="I48" s="798"/>
      <c r="J48" s="798"/>
      <c r="K48" s="798"/>
      <c r="L48" s="798"/>
      <c r="M48" s="798"/>
      <c r="N48" s="798"/>
      <c r="O48" s="798"/>
      <c r="P48" s="799"/>
      <c r="R48" s="352"/>
    </row>
    <row r="49" spans="1:18" ht="15.75" customHeight="1" x14ac:dyDescent="0.2">
      <c r="A49" s="800" t="s">
        <v>149</v>
      </c>
      <c r="B49" s="801"/>
      <c r="C49" s="227" t="s">
        <v>159</v>
      </c>
      <c r="D49" s="289">
        <f>SUM(E49:P49)</f>
        <v>74.501000000000005</v>
      </c>
      <c r="E49" s="290">
        <f t="shared" ref="E49:P49" si="19">E50+E51+E52+E53</f>
        <v>13.4</v>
      </c>
      <c r="F49" s="290">
        <f t="shared" si="19"/>
        <v>11.8</v>
      </c>
      <c r="G49" s="290">
        <f t="shared" si="19"/>
        <v>10.5</v>
      </c>
      <c r="H49" s="290">
        <f t="shared" si="19"/>
        <v>3.1</v>
      </c>
      <c r="I49" s="290">
        <f t="shared" si="19"/>
        <v>2</v>
      </c>
      <c r="J49" s="290">
        <f t="shared" si="19"/>
        <v>1.9</v>
      </c>
      <c r="K49" s="290">
        <f t="shared" si="19"/>
        <v>1.5</v>
      </c>
      <c r="L49" s="290">
        <f t="shared" si="19"/>
        <v>1.5</v>
      </c>
      <c r="M49" s="290">
        <f t="shared" si="19"/>
        <v>2</v>
      </c>
      <c r="N49" s="290">
        <f t="shared" si="19"/>
        <v>4.8</v>
      </c>
      <c r="O49" s="290">
        <f t="shared" si="19"/>
        <v>9.6999999999999993</v>
      </c>
      <c r="P49" s="290">
        <f t="shared" si="19"/>
        <v>12.301</v>
      </c>
      <c r="R49" s="352"/>
    </row>
    <row r="50" spans="1:18" ht="15.75" customHeight="1" x14ac:dyDescent="0.2">
      <c r="A50" s="808" t="s">
        <v>121</v>
      </c>
      <c r="B50" s="809"/>
      <c r="C50" s="120" t="s">
        <v>159</v>
      </c>
      <c r="D50" s="291">
        <f>SUM(E50:P50)</f>
        <v>0</v>
      </c>
      <c r="E50" s="271">
        <v>0</v>
      </c>
      <c r="F50" s="271">
        <v>0</v>
      </c>
      <c r="G50" s="271">
        <v>0</v>
      </c>
      <c r="H50" s="271">
        <v>0</v>
      </c>
      <c r="I50" s="271">
        <v>0</v>
      </c>
      <c r="J50" s="271">
        <v>0</v>
      </c>
      <c r="K50" s="271">
        <v>0</v>
      </c>
      <c r="L50" s="271">
        <v>0</v>
      </c>
      <c r="M50" s="271">
        <v>0</v>
      </c>
      <c r="N50" s="271">
        <v>0</v>
      </c>
      <c r="O50" s="271">
        <v>0</v>
      </c>
      <c r="P50" s="272">
        <v>0</v>
      </c>
      <c r="R50" s="352"/>
    </row>
    <row r="51" spans="1:18" ht="15.75" customHeight="1" x14ac:dyDescent="0.2">
      <c r="A51" s="808" t="s">
        <v>150</v>
      </c>
      <c r="B51" s="809"/>
      <c r="C51" s="120" t="s">
        <v>159</v>
      </c>
      <c r="D51" s="291">
        <f>SUM(E51:P51)</f>
        <v>0</v>
      </c>
      <c r="E51" s="271">
        <v>0</v>
      </c>
      <c r="F51" s="271">
        <v>0</v>
      </c>
      <c r="G51" s="271">
        <v>0</v>
      </c>
      <c r="H51" s="271">
        <v>0</v>
      </c>
      <c r="I51" s="271">
        <v>0</v>
      </c>
      <c r="J51" s="271">
        <v>0</v>
      </c>
      <c r="K51" s="271">
        <v>0</v>
      </c>
      <c r="L51" s="271">
        <v>0</v>
      </c>
      <c r="M51" s="271">
        <v>0</v>
      </c>
      <c r="N51" s="271">
        <v>0</v>
      </c>
      <c r="O51" s="271">
        <v>0</v>
      </c>
      <c r="P51" s="272">
        <v>0</v>
      </c>
      <c r="R51" s="352"/>
    </row>
    <row r="52" spans="1:18" ht="15.75" customHeight="1" x14ac:dyDescent="0.2">
      <c r="A52" s="808" t="s">
        <v>155</v>
      </c>
      <c r="B52" s="809"/>
      <c r="C52" s="120" t="s">
        <v>159</v>
      </c>
      <c r="D52" s="291">
        <f>SUM(E52:P52)</f>
        <v>0</v>
      </c>
      <c r="E52" s="271">
        <v>0</v>
      </c>
      <c r="F52" s="271">
        <v>0</v>
      </c>
      <c r="G52" s="271">
        <v>0</v>
      </c>
      <c r="H52" s="271">
        <v>0</v>
      </c>
      <c r="I52" s="271">
        <v>0</v>
      </c>
      <c r="J52" s="271">
        <v>0</v>
      </c>
      <c r="K52" s="271">
        <v>0</v>
      </c>
      <c r="L52" s="271">
        <v>0</v>
      </c>
      <c r="M52" s="271">
        <v>0</v>
      </c>
      <c r="N52" s="271">
        <v>0</v>
      </c>
      <c r="O52" s="271">
        <v>0</v>
      </c>
      <c r="P52" s="272">
        <v>0</v>
      </c>
      <c r="R52" s="352"/>
    </row>
    <row r="53" spans="1:18" ht="15.75" customHeight="1" thickBot="1" x14ac:dyDescent="0.25">
      <c r="A53" s="828" t="s">
        <v>151</v>
      </c>
      <c r="B53" s="829"/>
      <c r="C53" s="122" t="s">
        <v>159</v>
      </c>
      <c r="D53" s="292">
        <f>SUM(E53:P53)</f>
        <v>74.501000000000005</v>
      </c>
      <c r="E53" s="274">
        <v>13.4</v>
      </c>
      <c r="F53" s="274">
        <v>11.8</v>
      </c>
      <c r="G53" s="274">
        <v>10.5</v>
      </c>
      <c r="H53" s="274">
        <v>3.1</v>
      </c>
      <c r="I53" s="274">
        <v>2</v>
      </c>
      <c r="J53" s="274">
        <v>1.9</v>
      </c>
      <c r="K53" s="274">
        <v>1.5</v>
      </c>
      <c r="L53" s="274">
        <v>1.5</v>
      </c>
      <c r="M53" s="274">
        <v>2</v>
      </c>
      <c r="N53" s="274">
        <v>4.8</v>
      </c>
      <c r="O53" s="274">
        <v>9.6999999999999993</v>
      </c>
      <c r="P53" s="275">
        <v>12.301</v>
      </c>
      <c r="R53" s="352"/>
    </row>
    <row r="54" spans="1:18" ht="15.95" customHeight="1" thickBot="1" x14ac:dyDescent="0.25">
      <c r="A54" s="795" t="s">
        <v>162</v>
      </c>
      <c r="B54" s="796"/>
      <c r="C54" s="137" t="s">
        <v>122</v>
      </c>
      <c r="D54" s="293">
        <f>IF(D49=0,0,D55/D49*1000)</f>
        <v>125.04530140535024</v>
      </c>
      <c r="E54" s="294">
        <v>127.6</v>
      </c>
      <c r="F54" s="294">
        <v>126.2</v>
      </c>
      <c r="G54" s="294">
        <v>126.6</v>
      </c>
      <c r="H54" s="294">
        <v>120</v>
      </c>
      <c r="I54" s="294">
        <v>117</v>
      </c>
      <c r="J54" s="294">
        <v>116.3</v>
      </c>
      <c r="K54" s="294">
        <v>116</v>
      </c>
      <c r="L54" s="294">
        <v>116</v>
      </c>
      <c r="M54" s="294">
        <v>116.5</v>
      </c>
      <c r="N54" s="294">
        <v>121</v>
      </c>
      <c r="O54" s="294">
        <v>126.2</v>
      </c>
      <c r="P54" s="295">
        <v>128</v>
      </c>
      <c r="R54" s="352"/>
    </row>
    <row r="55" spans="1:18" ht="15.95" customHeight="1" thickBot="1" x14ac:dyDescent="0.25">
      <c r="A55" s="813" t="s">
        <v>123</v>
      </c>
      <c r="B55" s="138" t="s">
        <v>152</v>
      </c>
      <c r="C55" s="113" t="s">
        <v>158</v>
      </c>
      <c r="D55" s="296">
        <f>SUM(E55:P55)</f>
        <v>9.3159999999999989</v>
      </c>
      <c r="E55" s="297">
        <f>ROUND(E56+E60+E64+E68,3)</f>
        <v>1.71</v>
      </c>
      <c r="F55" s="297">
        <f t="shared" ref="F55:N55" si="20">ROUND(F56+F60+F64+F68,3)</f>
        <v>1.4890000000000001</v>
      </c>
      <c r="G55" s="297">
        <f t="shared" si="20"/>
        <v>1.329</v>
      </c>
      <c r="H55" s="297">
        <f t="shared" si="20"/>
        <v>0.372</v>
      </c>
      <c r="I55" s="297">
        <f t="shared" si="20"/>
        <v>0.23400000000000001</v>
      </c>
      <c r="J55" s="297">
        <f t="shared" si="20"/>
        <v>0.221</v>
      </c>
      <c r="K55" s="297">
        <f t="shared" si="20"/>
        <v>0.17399999999999999</v>
      </c>
      <c r="L55" s="297">
        <f t="shared" si="20"/>
        <v>0.17399999999999999</v>
      </c>
      <c r="M55" s="297">
        <f t="shared" si="20"/>
        <v>0.23300000000000001</v>
      </c>
      <c r="N55" s="297">
        <f t="shared" si="20"/>
        <v>0.58099999999999996</v>
      </c>
      <c r="O55" s="297">
        <f>ROUND(O56+O60+O64+O68,3)</f>
        <v>1.224</v>
      </c>
      <c r="P55" s="298">
        <f>ROUND(P56+P60+P64+P68,3)</f>
        <v>1.575</v>
      </c>
      <c r="R55" s="352"/>
    </row>
    <row r="56" spans="1:18" ht="15.95" customHeight="1" x14ac:dyDescent="0.2">
      <c r="A56" s="814"/>
      <c r="B56" s="133" t="s">
        <v>153</v>
      </c>
      <c r="C56" s="118" t="s">
        <v>158</v>
      </c>
      <c r="D56" s="299">
        <f t="shared" ref="D56:D90" si="21">SUM(E56:P56)</f>
        <v>0</v>
      </c>
      <c r="E56" s="300">
        <f>ROUND(E50*E54/1000,3)</f>
        <v>0</v>
      </c>
      <c r="F56" s="300">
        <f t="shared" ref="F56:P56" si="22">ROUND(F50*F54/1000,3)</f>
        <v>0</v>
      </c>
      <c r="G56" s="300">
        <f t="shared" si="22"/>
        <v>0</v>
      </c>
      <c r="H56" s="300">
        <f t="shared" si="22"/>
        <v>0</v>
      </c>
      <c r="I56" s="300">
        <f t="shared" si="22"/>
        <v>0</v>
      </c>
      <c r="J56" s="300">
        <f t="shared" si="22"/>
        <v>0</v>
      </c>
      <c r="K56" s="300">
        <f t="shared" si="22"/>
        <v>0</v>
      </c>
      <c r="L56" s="300">
        <f t="shared" si="22"/>
        <v>0</v>
      </c>
      <c r="M56" s="300">
        <f t="shared" si="22"/>
        <v>0</v>
      </c>
      <c r="N56" s="300">
        <f t="shared" si="22"/>
        <v>0</v>
      </c>
      <c r="O56" s="300">
        <f t="shared" si="22"/>
        <v>0</v>
      </c>
      <c r="P56" s="300">
        <f t="shared" si="22"/>
        <v>0</v>
      </c>
      <c r="R56" s="352"/>
    </row>
    <row r="57" spans="1:18" ht="15.95" customHeight="1" thickBot="1" x14ac:dyDescent="0.25">
      <c r="A57" s="814"/>
      <c r="B57" s="131" t="s">
        <v>144</v>
      </c>
      <c r="C57" s="120" t="s">
        <v>158</v>
      </c>
      <c r="D57" s="301">
        <f t="shared" si="21"/>
        <v>0</v>
      </c>
      <c r="E57" s="302">
        <f t="shared" ref="E57:P57" si="23">E56-E58-E59</f>
        <v>0</v>
      </c>
      <c r="F57" s="302">
        <f t="shared" si="23"/>
        <v>0</v>
      </c>
      <c r="G57" s="302">
        <f t="shared" si="23"/>
        <v>0</v>
      </c>
      <c r="H57" s="302">
        <f t="shared" si="23"/>
        <v>0</v>
      </c>
      <c r="I57" s="302">
        <f t="shared" si="23"/>
        <v>0</v>
      </c>
      <c r="J57" s="302">
        <f t="shared" si="23"/>
        <v>0</v>
      </c>
      <c r="K57" s="302">
        <f t="shared" si="23"/>
        <v>0</v>
      </c>
      <c r="L57" s="302">
        <f t="shared" si="23"/>
        <v>0</v>
      </c>
      <c r="M57" s="302">
        <f t="shared" si="23"/>
        <v>0</v>
      </c>
      <c r="N57" s="302">
        <f t="shared" si="23"/>
        <v>0</v>
      </c>
      <c r="O57" s="302">
        <f t="shared" si="23"/>
        <v>0</v>
      </c>
      <c r="P57" s="303">
        <f t="shared" si="23"/>
        <v>0</v>
      </c>
      <c r="R57" s="352"/>
    </row>
    <row r="58" spans="1:18" ht="15.95" customHeight="1" x14ac:dyDescent="0.2">
      <c r="A58" s="814"/>
      <c r="B58" s="131" t="s">
        <v>115</v>
      </c>
      <c r="C58" s="120" t="s">
        <v>158</v>
      </c>
      <c r="D58" s="299">
        <f t="shared" si="21"/>
        <v>0</v>
      </c>
      <c r="E58" s="304">
        <v>0</v>
      </c>
      <c r="F58" s="304">
        <v>0</v>
      </c>
      <c r="G58" s="304">
        <v>0</v>
      </c>
      <c r="H58" s="304">
        <v>0</v>
      </c>
      <c r="I58" s="304">
        <v>0</v>
      </c>
      <c r="J58" s="304">
        <v>0</v>
      </c>
      <c r="K58" s="304">
        <v>0</v>
      </c>
      <c r="L58" s="304">
        <v>0</v>
      </c>
      <c r="M58" s="304">
        <v>0</v>
      </c>
      <c r="N58" s="304">
        <v>0</v>
      </c>
      <c r="O58" s="304">
        <v>0</v>
      </c>
      <c r="P58" s="305">
        <v>0</v>
      </c>
      <c r="R58" s="352"/>
    </row>
    <row r="59" spans="1:18" ht="15.95" customHeight="1" thickBot="1" x14ac:dyDescent="0.25">
      <c r="A59" s="814"/>
      <c r="B59" s="132" t="s">
        <v>116</v>
      </c>
      <c r="C59" s="122" t="s">
        <v>158</v>
      </c>
      <c r="D59" s="273">
        <f t="shared" si="21"/>
        <v>0</v>
      </c>
      <c r="E59" s="274">
        <v>0</v>
      </c>
      <c r="F59" s="274">
        <v>0</v>
      </c>
      <c r="G59" s="274">
        <v>0</v>
      </c>
      <c r="H59" s="274">
        <v>0</v>
      </c>
      <c r="I59" s="274">
        <v>0</v>
      </c>
      <c r="J59" s="274">
        <v>0</v>
      </c>
      <c r="K59" s="274">
        <v>0</v>
      </c>
      <c r="L59" s="274">
        <v>0</v>
      </c>
      <c r="M59" s="274">
        <v>0</v>
      </c>
      <c r="N59" s="274">
        <v>0</v>
      </c>
      <c r="O59" s="274">
        <v>0</v>
      </c>
      <c r="P59" s="275">
        <v>0</v>
      </c>
      <c r="R59" s="352"/>
    </row>
    <row r="60" spans="1:18" ht="15.95" customHeight="1" x14ac:dyDescent="0.2">
      <c r="A60" s="814"/>
      <c r="B60" s="133" t="s">
        <v>154</v>
      </c>
      <c r="C60" s="118" t="s">
        <v>158</v>
      </c>
      <c r="D60" s="299">
        <f t="shared" si="21"/>
        <v>0</v>
      </c>
      <c r="E60" s="300">
        <f t="shared" ref="E60:P60" si="24">E51*E54/1000</f>
        <v>0</v>
      </c>
      <c r="F60" s="300">
        <f t="shared" si="24"/>
        <v>0</v>
      </c>
      <c r="G60" s="300">
        <f t="shared" si="24"/>
        <v>0</v>
      </c>
      <c r="H60" s="300">
        <f t="shared" si="24"/>
        <v>0</v>
      </c>
      <c r="I60" s="300">
        <f t="shared" si="24"/>
        <v>0</v>
      </c>
      <c r="J60" s="300">
        <f t="shared" si="24"/>
        <v>0</v>
      </c>
      <c r="K60" s="300">
        <f t="shared" si="24"/>
        <v>0</v>
      </c>
      <c r="L60" s="300">
        <f t="shared" si="24"/>
        <v>0</v>
      </c>
      <c r="M60" s="300">
        <f t="shared" si="24"/>
        <v>0</v>
      </c>
      <c r="N60" s="300">
        <f t="shared" si="24"/>
        <v>0</v>
      </c>
      <c r="O60" s="300">
        <f t="shared" si="24"/>
        <v>0</v>
      </c>
      <c r="P60" s="306">
        <f t="shared" si="24"/>
        <v>0</v>
      </c>
      <c r="R60" s="352"/>
    </row>
    <row r="61" spans="1:18" ht="15.95" customHeight="1" x14ac:dyDescent="0.2">
      <c r="A61" s="814"/>
      <c r="B61" s="131" t="s">
        <v>144</v>
      </c>
      <c r="C61" s="120" t="s">
        <v>158</v>
      </c>
      <c r="D61" s="268">
        <f t="shared" si="21"/>
        <v>0</v>
      </c>
      <c r="E61" s="269">
        <f t="shared" ref="E61:P61" si="25">E60-E62-E63</f>
        <v>0</v>
      </c>
      <c r="F61" s="269">
        <f t="shared" si="25"/>
        <v>0</v>
      </c>
      <c r="G61" s="269">
        <f t="shared" si="25"/>
        <v>0</v>
      </c>
      <c r="H61" s="269">
        <f t="shared" si="25"/>
        <v>0</v>
      </c>
      <c r="I61" s="269">
        <f t="shared" si="25"/>
        <v>0</v>
      </c>
      <c r="J61" s="269">
        <f t="shared" si="25"/>
        <v>0</v>
      </c>
      <c r="K61" s="269">
        <f t="shared" si="25"/>
        <v>0</v>
      </c>
      <c r="L61" s="269">
        <f t="shared" si="25"/>
        <v>0</v>
      </c>
      <c r="M61" s="269">
        <f t="shared" si="25"/>
        <v>0</v>
      </c>
      <c r="N61" s="269">
        <f t="shared" si="25"/>
        <v>0</v>
      </c>
      <c r="O61" s="269">
        <f t="shared" si="25"/>
        <v>0</v>
      </c>
      <c r="P61" s="270">
        <f t="shared" si="25"/>
        <v>0</v>
      </c>
      <c r="R61" s="352"/>
    </row>
    <row r="62" spans="1:18" ht="15.95" customHeight="1" x14ac:dyDescent="0.2">
      <c r="A62" s="814"/>
      <c r="B62" s="131" t="s">
        <v>115</v>
      </c>
      <c r="C62" s="120" t="s">
        <v>158</v>
      </c>
      <c r="D62" s="268">
        <f t="shared" si="21"/>
        <v>0</v>
      </c>
      <c r="E62" s="271">
        <v>0</v>
      </c>
      <c r="F62" s="271">
        <v>0</v>
      </c>
      <c r="G62" s="271">
        <v>0</v>
      </c>
      <c r="H62" s="271">
        <v>0</v>
      </c>
      <c r="I62" s="271">
        <v>0</v>
      </c>
      <c r="J62" s="271">
        <v>0</v>
      </c>
      <c r="K62" s="271">
        <v>0</v>
      </c>
      <c r="L62" s="271">
        <v>0</v>
      </c>
      <c r="M62" s="271">
        <v>0</v>
      </c>
      <c r="N62" s="271">
        <v>0</v>
      </c>
      <c r="O62" s="271">
        <v>0</v>
      </c>
      <c r="P62" s="272">
        <v>0</v>
      </c>
      <c r="R62" s="352"/>
    </row>
    <row r="63" spans="1:18" ht="15.95" customHeight="1" thickBot="1" x14ac:dyDescent="0.25">
      <c r="A63" s="814"/>
      <c r="B63" s="132" t="s">
        <v>116</v>
      </c>
      <c r="C63" s="122" t="s">
        <v>158</v>
      </c>
      <c r="D63" s="273">
        <f t="shared" si="21"/>
        <v>0</v>
      </c>
      <c r="E63" s="274">
        <v>0</v>
      </c>
      <c r="F63" s="274">
        <v>0</v>
      </c>
      <c r="G63" s="274">
        <v>0</v>
      </c>
      <c r="H63" s="274">
        <v>0</v>
      </c>
      <c r="I63" s="274">
        <v>0</v>
      </c>
      <c r="J63" s="274">
        <v>0</v>
      </c>
      <c r="K63" s="274">
        <v>0</v>
      </c>
      <c r="L63" s="274">
        <v>0</v>
      </c>
      <c r="M63" s="274">
        <v>0</v>
      </c>
      <c r="N63" s="274">
        <v>0</v>
      </c>
      <c r="O63" s="274">
        <v>0</v>
      </c>
      <c r="P63" s="275">
        <v>0</v>
      </c>
      <c r="R63" s="352"/>
    </row>
    <row r="64" spans="1:18" ht="15.95" customHeight="1" x14ac:dyDescent="0.2">
      <c r="A64" s="815"/>
      <c r="B64" s="133" t="s">
        <v>294</v>
      </c>
      <c r="C64" s="118" t="s">
        <v>158</v>
      </c>
      <c r="D64" s="299">
        <f t="shared" si="21"/>
        <v>0</v>
      </c>
      <c r="E64" s="300">
        <f>ROUND(E52*E54/1000,3)</f>
        <v>0</v>
      </c>
      <c r="F64" s="300">
        <f t="shared" ref="F64:P64" si="26">ROUND(F52*F54/1000,3)</f>
        <v>0</v>
      </c>
      <c r="G64" s="300">
        <f t="shared" si="26"/>
        <v>0</v>
      </c>
      <c r="H64" s="300">
        <f t="shared" si="26"/>
        <v>0</v>
      </c>
      <c r="I64" s="300">
        <f t="shared" si="26"/>
        <v>0</v>
      </c>
      <c r="J64" s="300">
        <f t="shared" si="26"/>
        <v>0</v>
      </c>
      <c r="K64" s="300">
        <f t="shared" si="26"/>
        <v>0</v>
      </c>
      <c r="L64" s="300">
        <f t="shared" si="26"/>
        <v>0</v>
      </c>
      <c r="M64" s="300">
        <f t="shared" si="26"/>
        <v>0</v>
      </c>
      <c r="N64" s="300">
        <f t="shared" si="26"/>
        <v>0</v>
      </c>
      <c r="O64" s="300">
        <f t="shared" si="26"/>
        <v>0</v>
      </c>
      <c r="P64" s="306">
        <f t="shared" si="26"/>
        <v>0</v>
      </c>
      <c r="R64" s="352"/>
    </row>
    <row r="65" spans="1:18" ht="15.95" customHeight="1" x14ac:dyDescent="0.2">
      <c r="A65" s="815"/>
      <c r="B65" s="131" t="s">
        <v>144</v>
      </c>
      <c r="C65" s="120" t="s">
        <v>158</v>
      </c>
      <c r="D65" s="268">
        <f t="shared" si="21"/>
        <v>0</v>
      </c>
      <c r="E65" s="269">
        <f t="shared" ref="E65:P65" si="27">E64-E66-E67</f>
        <v>0</v>
      </c>
      <c r="F65" s="269">
        <f t="shared" si="27"/>
        <v>0</v>
      </c>
      <c r="G65" s="269">
        <f t="shared" si="27"/>
        <v>0</v>
      </c>
      <c r="H65" s="269">
        <f t="shared" si="27"/>
        <v>0</v>
      </c>
      <c r="I65" s="269">
        <f t="shared" si="27"/>
        <v>0</v>
      </c>
      <c r="J65" s="269">
        <f t="shared" si="27"/>
        <v>0</v>
      </c>
      <c r="K65" s="269">
        <f t="shared" si="27"/>
        <v>0</v>
      </c>
      <c r="L65" s="269">
        <f t="shared" si="27"/>
        <v>0</v>
      </c>
      <c r="M65" s="269">
        <f t="shared" si="27"/>
        <v>0</v>
      </c>
      <c r="N65" s="269">
        <f t="shared" si="27"/>
        <v>0</v>
      </c>
      <c r="O65" s="269">
        <f t="shared" si="27"/>
        <v>0</v>
      </c>
      <c r="P65" s="270">
        <f t="shared" si="27"/>
        <v>0</v>
      </c>
      <c r="R65" s="352"/>
    </row>
    <row r="66" spans="1:18" ht="15.95" customHeight="1" x14ac:dyDescent="0.2">
      <c r="A66" s="815"/>
      <c r="B66" s="131" t="s">
        <v>115</v>
      </c>
      <c r="C66" s="120" t="s">
        <v>158</v>
      </c>
      <c r="D66" s="268">
        <f t="shared" si="21"/>
        <v>0</v>
      </c>
      <c r="E66" s="271">
        <v>0</v>
      </c>
      <c r="F66" s="271">
        <v>0</v>
      </c>
      <c r="G66" s="271">
        <v>0</v>
      </c>
      <c r="H66" s="271">
        <v>0</v>
      </c>
      <c r="I66" s="271">
        <v>0</v>
      </c>
      <c r="J66" s="271">
        <v>0</v>
      </c>
      <c r="K66" s="271">
        <v>0</v>
      </c>
      <c r="L66" s="271">
        <v>0</v>
      </c>
      <c r="M66" s="271">
        <v>0</v>
      </c>
      <c r="N66" s="271">
        <v>0</v>
      </c>
      <c r="O66" s="271">
        <v>0</v>
      </c>
      <c r="P66" s="272">
        <v>0</v>
      </c>
      <c r="R66" s="352"/>
    </row>
    <row r="67" spans="1:18" ht="15.95" customHeight="1" thickBot="1" x14ac:dyDescent="0.25">
      <c r="A67" s="815"/>
      <c r="B67" s="132" t="s">
        <v>116</v>
      </c>
      <c r="C67" s="122" t="s">
        <v>158</v>
      </c>
      <c r="D67" s="273">
        <f t="shared" si="21"/>
        <v>0</v>
      </c>
      <c r="E67" s="274">
        <v>0</v>
      </c>
      <c r="F67" s="274">
        <v>0</v>
      </c>
      <c r="G67" s="274">
        <v>0</v>
      </c>
      <c r="H67" s="274">
        <v>0</v>
      </c>
      <c r="I67" s="274">
        <v>0</v>
      </c>
      <c r="J67" s="274">
        <v>0</v>
      </c>
      <c r="K67" s="274">
        <v>0</v>
      </c>
      <c r="L67" s="274">
        <v>0</v>
      </c>
      <c r="M67" s="274">
        <v>0</v>
      </c>
      <c r="N67" s="274">
        <v>0</v>
      </c>
      <c r="O67" s="274">
        <v>0</v>
      </c>
      <c r="P67" s="275">
        <v>0</v>
      </c>
      <c r="R67" s="352"/>
    </row>
    <row r="68" spans="1:18" x14ac:dyDescent="0.2">
      <c r="A68" s="814"/>
      <c r="B68" s="133" t="s">
        <v>295</v>
      </c>
      <c r="C68" s="118" t="s">
        <v>158</v>
      </c>
      <c r="D68" s="299">
        <f t="shared" si="21"/>
        <v>9.3159999999999989</v>
      </c>
      <c r="E68" s="325">
        <f>ROUND(E53*E54/1000,3)</f>
        <v>1.71</v>
      </c>
      <c r="F68" s="325">
        <f t="shared" ref="F68:P68" si="28">ROUND(F53*F54/1000,3)</f>
        <v>1.4890000000000001</v>
      </c>
      <c r="G68" s="300">
        <f t="shared" si="28"/>
        <v>1.329</v>
      </c>
      <c r="H68" s="300">
        <f t="shared" si="28"/>
        <v>0.372</v>
      </c>
      <c r="I68" s="300">
        <f t="shared" si="28"/>
        <v>0.23400000000000001</v>
      </c>
      <c r="J68" s="300">
        <f t="shared" si="28"/>
        <v>0.221</v>
      </c>
      <c r="K68" s="300">
        <f t="shared" si="28"/>
        <v>0.17399999999999999</v>
      </c>
      <c r="L68" s="300">
        <f t="shared" si="28"/>
        <v>0.17399999999999999</v>
      </c>
      <c r="M68" s="300">
        <f>ROUND(M53*M54/1000,3)</f>
        <v>0.23300000000000001</v>
      </c>
      <c r="N68" s="300">
        <f>ROUND(N53*N54/1000,3)</f>
        <v>0.58099999999999996</v>
      </c>
      <c r="O68" s="300">
        <f>ROUND(O53*O54/1000,3)</f>
        <v>1.224</v>
      </c>
      <c r="P68" s="306">
        <f t="shared" si="28"/>
        <v>1.575</v>
      </c>
      <c r="R68" s="352"/>
    </row>
    <row r="69" spans="1:18" ht="15.95" customHeight="1" x14ac:dyDescent="0.2">
      <c r="A69" s="814"/>
      <c r="B69" s="131" t="s">
        <v>144</v>
      </c>
      <c r="C69" s="120" t="s">
        <v>158</v>
      </c>
      <c r="D69" s="268">
        <f t="shared" si="21"/>
        <v>6.0999999999999721E-2</v>
      </c>
      <c r="E69" s="269">
        <f t="shared" ref="E69:P69" si="29">E68-E70-E71-E72</f>
        <v>9.9999999999998979E-3</v>
      </c>
      <c r="F69" s="269">
        <f t="shared" si="29"/>
        <v>1.000000000000012E-2</v>
      </c>
      <c r="G69" s="269">
        <f t="shared" si="29"/>
        <v>7.9999999999998961E-3</v>
      </c>
      <c r="H69" s="269">
        <f t="shared" si="29"/>
        <v>3.0000000000000027E-3</v>
      </c>
      <c r="I69" s="269">
        <f t="shared" si="29"/>
        <v>2.0000000000000018E-3</v>
      </c>
      <c r="J69" s="269">
        <f t="shared" si="29"/>
        <v>1.0000000000000009E-3</v>
      </c>
      <c r="K69" s="269">
        <f t="shared" si="29"/>
        <v>1.0000000000000009E-3</v>
      </c>
      <c r="L69" s="269">
        <f t="shared" si="29"/>
        <v>1.0000000000000009E-3</v>
      </c>
      <c r="M69" s="269">
        <f t="shared" si="29"/>
        <v>1.0000000000000009E-3</v>
      </c>
      <c r="N69" s="269">
        <f t="shared" si="29"/>
        <v>6.0000000000000053E-3</v>
      </c>
      <c r="O69" s="269">
        <f t="shared" si="29"/>
        <v>5.9999999999998952E-3</v>
      </c>
      <c r="P69" s="270">
        <f t="shared" si="29"/>
        <v>1.19999999999999E-2</v>
      </c>
      <c r="R69" s="352"/>
    </row>
    <row r="70" spans="1:18" ht="15.95" customHeight="1" x14ac:dyDescent="0.2">
      <c r="A70" s="814"/>
      <c r="B70" s="131" t="s">
        <v>115</v>
      </c>
      <c r="C70" s="120" t="s">
        <v>158</v>
      </c>
      <c r="D70" s="268">
        <f t="shared" si="21"/>
        <v>9.25</v>
      </c>
      <c r="E70" s="271">
        <v>1.6990000000000001</v>
      </c>
      <c r="F70" s="271">
        <v>1.478</v>
      </c>
      <c r="G70" s="271">
        <v>1.32</v>
      </c>
      <c r="H70" s="271">
        <v>0.36899999999999999</v>
      </c>
      <c r="I70" s="271">
        <v>0.23200000000000001</v>
      </c>
      <c r="J70" s="271">
        <v>0.22</v>
      </c>
      <c r="K70" s="271">
        <v>0.17299999999999999</v>
      </c>
      <c r="L70" s="271">
        <v>0.17299999999999999</v>
      </c>
      <c r="M70" s="271">
        <v>0.23200000000000001</v>
      </c>
      <c r="N70" s="271">
        <v>0.57499999999999996</v>
      </c>
      <c r="O70" s="271">
        <v>1.2170000000000001</v>
      </c>
      <c r="P70" s="272">
        <v>1.5620000000000001</v>
      </c>
      <c r="R70" s="352"/>
    </row>
    <row r="71" spans="1:18" ht="15.95" customHeight="1" x14ac:dyDescent="0.2">
      <c r="A71" s="814"/>
      <c r="B71" s="131" t="s">
        <v>116</v>
      </c>
      <c r="C71" s="120" t="s">
        <v>158</v>
      </c>
      <c r="D71" s="268">
        <f t="shared" si="21"/>
        <v>5.0000000000000001E-3</v>
      </c>
      <c r="E71" s="271">
        <v>1E-3</v>
      </c>
      <c r="F71" s="271">
        <v>1E-3</v>
      </c>
      <c r="G71" s="271">
        <v>1E-3</v>
      </c>
      <c r="H71" s="271">
        <v>0</v>
      </c>
      <c r="I71" s="271">
        <v>0</v>
      </c>
      <c r="J71" s="271">
        <v>0</v>
      </c>
      <c r="K71" s="271">
        <v>0</v>
      </c>
      <c r="L71" s="271">
        <v>0</v>
      </c>
      <c r="M71" s="271">
        <v>0</v>
      </c>
      <c r="N71" s="271">
        <v>0</v>
      </c>
      <c r="O71" s="271">
        <v>1E-3</v>
      </c>
      <c r="P71" s="272">
        <v>1E-3</v>
      </c>
      <c r="R71" s="352"/>
    </row>
    <row r="72" spans="1:18" ht="15.95" customHeight="1" thickBot="1" x14ac:dyDescent="0.25">
      <c r="A72" s="816"/>
      <c r="B72" s="132" t="s">
        <v>117</v>
      </c>
      <c r="C72" s="122" t="s">
        <v>158</v>
      </c>
      <c r="D72" s="273">
        <f t="shared" si="21"/>
        <v>0</v>
      </c>
      <c r="E72" s="274">
        <v>0</v>
      </c>
      <c r="F72" s="274">
        <v>0</v>
      </c>
      <c r="G72" s="274">
        <v>0</v>
      </c>
      <c r="H72" s="274">
        <v>0</v>
      </c>
      <c r="I72" s="274">
        <v>0</v>
      </c>
      <c r="J72" s="274">
        <v>0</v>
      </c>
      <c r="K72" s="274">
        <v>0</v>
      </c>
      <c r="L72" s="274">
        <v>0</v>
      </c>
      <c r="M72" s="274">
        <v>0</v>
      </c>
      <c r="N72" s="274">
        <v>0</v>
      </c>
      <c r="O72" s="274">
        <v>0</v>
      </c>
      <c r="P72" s="275">
        <v>0</v>
      </c>
      <c r="R72" s="352"/>
    </row>
    <row r="73" spans="1:18" ht="27" customHeight="1" x14ac:dyDescent="0.2">
      <c r="A73" s="813" t="s">
        <v>118</v>
      </c>
      <c r="B73" s="133" t="s">
        <v>129</v>
      </c>
      <c r="C73" s="123" t="s">
        <v>157</v>
      </c>
      <c r="D73" s="299">
        <f t="shared" si="21"/>
        <v>0</v>
      </c>
      <c r="E73" s="307">
        <f>IF(E15=0,0,E57*7000/E15)</f>
        <v>0</v>
      </c>
      <c r="F73" s="307">
        <f t="shared" ref="F73:P73" si="30">IF(F15=0,0,F57*7000/F15)</f>
        <v>0</v>
      </c>
      <c r="G73" s="307">
        <f t="shared" si="30"/>
        <v>0</v>
      </c>
      <c r="H73" s="307">
        <f t="shared" si="30"/>
        <v>0</v>
      </c>
      <c r="I73" s="307">
        <f t="shared" si="30"/>
        <v>0</v>
      </c>
      <c r="J73" s="307">
        <f t="shared" si="30"/>
        <v>0</v>
      </c>
      <c r="K73" s="307">
        <f t="shared" si="30"/>
        <v>0</v>
      </c>
      <c r="L73" s="307">
        <f t="shared" si="30"/>
        <v>0</v>
      </c>
      <c r="M73" s="307">
        <f t="shared" si="30"/>
        <v>0</v>
      </c>
      <c r="N73" s="307">
        <f t="shared" si="30"/>
        <v>0</v>
      </c>
      <c r="O73" s="307">
        <f t="shared" si="30"/>
        <v>0</v>
      </c>
      <c r="P73" s="308">
        <f t="shared" si="30"/>
        <v>0</v>
      </c>
      <c r="R73" s="352"/>
    </row>
    <row r="74" spans="1:18" ht="16.5" customHeight="1" x14ac:dyDescent="0.2">
      <c r="A74" s="814"/>
      <c r="B74" s="134" t="s">
        <v>130</v>
      </c>
      <c r="C74" s="124" t="s">
        <v>157</v>
      </c>
      <c r="D74" s="268">
        <f t="shared" si="21"/>
        <v>0</v>
      </c>
      <c r="E74" s="309">
        <f>IF(E16=0,0,E61*7000/E16)</f>
        <v>0</v>
      </c>
      <c r="F74" s="309">
        <f t="shared" ref="F74:P74" si="31">IF(F16=0,0,F61*7000/F16)</f>
        <v>0</v>
      </c>
      <c r="G74" s="309">
        <f t="shared" si="31"/>
        <v>0</v>
      </c>
      <c r="H74" s="309">
        <f t="shared" si="31"/>
        <v>0</v>
      </c>
      <c r="I74" s="309">
        <f t="shared" si="31"/>
        <v>0</v>
      </c>
      <c r="J74" s="309">
        <f t="shared" si="31"/>
        <v>0</v>
      </c>
      <c r="K74" s="309">
        <f t="shared" si="31"/>
        <v>0</v>
      </c>
      <c r="L74" s="309">
        <f t="shared" si="31"/>
        <v>0</v>
      </c>
      <c r="M74" s="309">
        <f t="shared" si="31"/>
        <v>0</v>
      </c>
      <c r="N74" s="309">
        <f t="shared" si="31"/>
        <v>0</v>
      </c>
      <c r="O74" s="309">
        <f t="shared" si="31"/>
        <v>0</v>
      </c>
      <c r="P74" s="310">
        <f t="shared" si="31"/>
        <v>0</v>
      </c>
      <c r="R74" s="352"/>
    </row>
    <row r="75" spans="1:18" ht="15.75" customHeight="1" x14ac:dyDescent="0.2">
      <c r="A75" s="814"/>
      <c r="B75" s="134" t="s">
        <v>292</v>
      </c>
      <c r="C75" s="124" t="s">
        <v>157</v>
      </c>
      <c r="D75" s="268">
        <f t="shared" si="21"/>
        <v>0</v>
      </c>
      <c r="E75" s="309">
        <f>IF(E17=0,0,E65*7000/E17)</f>
        <v>0</v>
      </c>
      <c r="F75" s="309">
        <f t="shared" ref="F75:P75" si="32">IF(F17=0,0,F65*7000/F17)</f>
        <v>0</v>
      </c>
      <c r="G75" s="309">
        <f t="shared" si="32"/>
        <v>0</v>
      </c>
      <c r="H75" s="309">
        <f t="shared" si="32"/>
        <v>0</v>
      </c>
      <c r="I75" s="309">
        <f t="shared" si="32"/>
        <v>0</v>
      </c>
      <c r="J75" s="309">
        <f t="shared" si="32"/>
        <v>0</v>
      </c>
      <c r="K75" s="309">
        <f t="shared" si="32"/>
        <v>0</v>
      </c>
      <c r="L75" s="309">
        <f t="shared" si="32"/>
        <v>0</v>
      </c>
      <c r="M75" s="309">
        <f t="shared" si="32"/>
        <v>0</v>
      </c>
      <c r="N75" s="309">
        <f t="shared" si="32"/>
        <v>0</v>
      </c>
      <c r="O75" s="309">
        <f t="shared" si="32"/>
        <v>0</v>
      </c>
      <c r="P75" s="310">
        <f t="shared" si="32"/>
        <v>0</v>
      </c>
      <c r="R75" s="352"/>
    </row>
    <row r="76" spans="1:18" ht="19.5" customHeight="1" x14ac:dyDescent="0.2">
      <c r="A76" s="814"/>
      <c r="B76" s="134" t="s">
        <v>293</v>
      </c>
      <c r="C76" s="124" t="s">
        <v>157</v>
      </c>
      <c r="D76" s="268">
        <f t="shared" si="21"/>
        <v>5.3999999999999999E-2</v>
      </c>
      <c r="E76" s="309">
        <f>ROUND((IF(E18=0,0,E69*7000/E18)),3)</f>
        <v>8.9999999999999993E-3</v>
      </c>
      <c r="F76" s="309">
        <f t="shared" ref="F76:P76" si="33">ROUND((IF(F18=0,0,F69*7000/F18)),3)</f>
        <v>8.9999999999999993E-3</v>
      </c>
      <c r="G76" s="309">
        <f t="shared" si="33"/>
        <v>7.0000000000000001E-3</v>
      </c>
      <c r="H76" s="309">
        <f t="shared" si="33"/>
        <v>3.0000000000000001E-3</v>
      </c>
      <c r="I76" s="309">
        <f t="shared" si="33"/>
        <v>2E-3</v>
      </c>
      <c r="J76" s="309">
        <f t="shared" si="33"/>
        <v>1E-3</v>
      </c>
      <c r="K76" s="309">
        <f t="shared" si="33"/>
        <v>1E-3</v>
      </c>
      <c r="L76" s="309">
        <f>ROUND((IF(L18=0,0,L69*7000/L18)),3)</f>
        <v>1E-3</v>
      </c>
      <c r="M76" s="309">
        <f t="shared" si="33"/>
        <v>1E-3</v>
      </c>
      <c r="N76" s="309">
        <f t="shared" si="33"/>
        <v>5.0000000000000001E-3</v>
      </c>
      <c r="O76" s="309">
        <f t="shared" si="33"/>
        <v>5.0000000000000001E-3</v>
      </c>
      <c r="P76" s="309">
        <f t="shared" si="33"/>
        <v>0.01</v>
      </c>
      <c r="R76" s="352"/>
    </row>
    <row r="77" spans="1:18" ht="13.5" customHeight="1" x14ac:dyDescent="0.2">
      <c r="A77" s="814"/>
      <c r="B77" s="134" t="s">
        <v>132</v>
      </c>
      <c r="C77" s="120" t="s">
        <v>80</v>
      </c>
      <c r="D77" s="268">
        <f t="shared" si="21"/>
        <v>12.452</v>
      </c>
      <c r="E77" s="279">
        <f>ROUND((IF(E19=0,0,(E58+E62+E66+E70)*7000/E19)),3)</f>
        <v>2.2869999999999999</v>
      </c>
      <c r="F77" s="279">
        <f t="shared" ref="F77:M77" si="34">ROUND((IF(F19=0,0,(F58+F62+F66+F70)*7000/F19)),3)</f>
        <v>1.99</v>
      </c>
      <c r="G77" s="279">
        <f t="shared" si="34"/>
        <v>1.7769999999999999</v>
      </c>
      <c r="H77" s="279">
        <f t="shared" si="34"/>
        <v>0.497</v>
      </c>
      <c r="I77" s="279">
        <f t="shared" si="34"/>
        <v>0.312</v>
      </c>
      <c r="J77" s="279">
        <f t="shared" si="34"/>
        <v>0.29599999999999999</v>
      </c>
      <c r="K77" s="279">
        <f t="shared" si="34"/>
        <v>0.23300000000000001</v>
      </c>
      <c r="L77" s="279">
        <f t="shared" si="34"/>
        <v>0.23300000000000001</v>
      </c>
      <c r="M77" s="279">
        <f t="shared" si="34"/>
        <v>0.312</v>
      </c>
      <c r="N77" s="279">
        <f>IF(N19=0,0,(N58+N62+N66+N70)*7000/N19)</f>
        <v>0.77403846153846145</v>
      </c>
      <c r="O77" s="279">
        <f>IF(O19=0,0,(O58+O62+O66+O70)*7000/O19)</f>
        <v>1.6382692307692308</v>
      </c>
      <c r="P77" s="279">
        <f>IF(P19=0,0,(P58+P62+P66+P70)*7000/P19)</f>
        <v>2.1026923076923079</v>
      </c>
      <c r="R77" s="352"/>
    </row>
    <row r="78" spans="1:18" ht="21.75" customHeight="1" x14ac:dyDescent="0.2">
      <c r="A78" s="814"/>
      <c r="B78" s="134" t="s">
        <v>133</v>
      </c>
      <c r="C78" s="120" t="s">
        <v>80</v>
      </c>
      <c r="D78" s="363">
        <f t="shared" si="21"/>
        <v>5.0000000000000001E-3</v>
      </c>
      <c r="E78" s="364">
        <f>ROUND((IF(E20=0,0,(E59+E63+E67+E71)*7000/E20)),3)</f>
        <v>1E-3</v>
      </c>
      <c r="F78" s="364">
        <f t="shared" ref="F78:P78" si="35">ROUND((IF(F20=0,0,(F59+F63+F67+F71)*7000/F20)),3)</f>
        <v>1E-3</v>
      </c>
      <c r="G78" s="364">
        <f t="shared" si="35"/>
        <v>1E-3</v>
      </c>
      <c r="H78" s="364">
        <f t="shared" si="35"/>
        <v>0</v>
      </c>
      <c r="I78" s="364">
        <f t="shared" si="35"/>
        <v>0</v>
      </c>
      <c r="J78" s="364">
        <f t="shared" si="35"/>
        <v>0</v>
      </c>
      <c r="K78" s="364">
        <f t="shared" si="35"/>
        <v>0</v>
      </c>
      <c r="L78" s="364">
        <f t="shared" si="35"/>
        <v>0</v>
      </c>
      <c r="M78" s="364">
        <f t="shared" si="35"/>
        <v>0</v>
      </c>
      <c r="N78" s="364">
        <f t="shared" si="35"/>
        <v>0</v>
      </c>
      <c r="O78" s="364">
        <f t="shared" si="35"/>
        <v>1E-3</v>
      </c>
      <c r="P78" s="364">
        <f t="shared" si="35"/>
        <v>1E-3</v>
      </c>
      <c r="R78" s="352"/>
    </row>
    <row r="79" spans="1:18" ht="19.5" customHeight="1" thickBot="1" x14ac:dyDescent="0.25">
      <c r="A79" s="816"/>
      <c r="B79" s="135" t="s">
        <v>134</v>
      </c>
      <c r="C79" s="125" t="s">
        <v>157</v>
      </c>
      <c r="D79" s="273">
        <f t="shared" si="21"/>
        <v>0</v>
      </c>
      <c r="E79" s="361">
        <f>IF(E21=0,0,E72*7000/E21)</f>
        <v>0</v>
      </c>
      <c r="F79" s="361">
        <f t="shared" ref="F79:P79" si="36">IF(F21=0,0,F72*7000/F21)</f>
        <v>0</v>
      </c>
      <c r="G79" s="361">
        <f t="shared" si="36"/>
        <v>0</v>
      </c>
      <c r="H79" s="361">
        <f t="shared" si="36"/>
        <v>0</v>
      </c>
      <c r="I79" s="361">
        <f t="shared" si="36"/>
        <v>0</v>
      </c>
      <c r="J79" s="361">
        <f t="shared" si="36"/>
        <v>0</v>
      </c>
      <c r="K79" s="361">
        <f t="shared" si="36"/>
        <v>0</v>
      </c>
      <c r="L79" s="361">
        <f t="shared" si="36"/>
        <v>0</v>
      </c>
      <c r="M79" s="361">
        <f t="shared" si="36"/>
        <v>0</v>
      </c>
      <c r="N79" s="361">
        <f t="shared" si="36"/>
        <v>0</v>
      </c>
      <c r="O79" s="361">
        <f t="shared" si="36"/>
        <v>0</v>
      </c>
      <c r="P79" s="362">
        <f t="shared" si="36"/>
        <v>0</v>
      </c>
      <c r="R79" s="352"/>
    </row>
    <row r="80" spans="1:18" ht="15.95" customHeight="1" x14ac:dyDescent="0.2">
      <c r="A80" s="810" t="s">
        <v>119</v>
      </c>
      <c r="B80" s="133" t="s">
        <v>129</v>
      </c>
      <c r="C80" s="118" t="s">
        <v>77</v>
      </c>
      <c r="D80" s="299">
        <f t="shared" si="21"/>
        <v>0</v>
      </c>
      <c r="E80" s="281">
        <f>E57*E22</f>
        <v>0</v>
      </c>
      <c r="F80" s="281">
        <f t="shared" ref="F80:P80" si="37">F57*F22</f>
        <v>0</v>
      </c>
      <c r="G80" s="281">
        <f t="shared" si="37"/>
        <v>0</v>
      </c>
      <c r="H80" s="281">
        <f t="shared" si="37"/>
        <v>0</v>
      </c>
      <c r="I80" s="281">
        <f t="shared" si="37"/>
        <v>0</v>
      </c>
      <c r="J80" s="281">
        <f t="shared" si="37"/>
        <v>0</v>
      </c>
      <c r="K80" s="281">
        <f t="shared" si="37"/>
        <v>0</v>
      </c>
      <c r="L80" s="281">
        <f t="shared" si="37"/>
        <v>0</v>
      </c>
      <c r="M80" s="281">
        <f t="shared" si="37"/>
        <v>0</v>
      </c>
      <c r="N80" s="281">
        <f t="shared" si="37"/>
        <v>0</v>
      </c>
      <c r="O80" s="281">
        <f t="shared" si="37"/>
        <v>0</v>
      </c>
      <c r="P80" s="282">
        <f t="shared" si="37"/>
        <v>0</v>
      </c>
      <c r="R80" s="352"/>
    </row>
    <row r="81" spans="1:18" ht="15.75" customHeight="1" x14ac:dyDescent="0.2">
      <c r="A81" s="811"/>
      <c r="B81" s="134" t="s">
        <v>130</v>
      </c>
      <c r="C81" s="120" t="s">
        <v>77</v>
      </c>
      <c r="D81" s="268">
        <f t="shared" si="21"/>
        <v>0</v>
      </c>
      <c r="E81" s="284">
        <f>E61*E23</f>
        <v>0</v>
      </c>
      <c r="F81" s="284">
        <f t="shared" ref="F81:P81" si="38">F61*F23</f>
        <v>0</v>
      </c>
      <c r="G81" s="284">
        <f t="shared" si="38"/>
        <v>0</v>
      </c>
      <c r="H81" s="284">
        <f t="shared" si="38"/>
        <v>0</v>
      </c>
      <c r="I81" s="284">
        <f t="shared" si="38"/>
        <v>0</v>
      </c>
      <c r="J81" s="284">
        <f t="shared" si="38"/>
        <v>0</v>
      </c>
      <c r="K81" s="284">
        <f t="shared" si="38"/>
        <v>0</v>
      </c>
      <c r="L81" s="284">
        <f t="shared" si="38"/>
        <v>0</v>
      </c>
      <c r="M81" s="284">
        <f t="shared" si="38"/>
        <v>0</v>
      </c>
      <c r="N81" s="284">
        <f t="shared" si="38"/>
        <v>0</v>
      </c>
      <c r="O81" s="284">
        <f t="shared" si="38"/>
        <v>0</v>
      </c>
      <c r="P81" s="285">
        <f t="shared" si="38"/>
        <v>0</v>
      </c>
      <c r="R81" s="352"/>
    </row>
    <row r="82" spans="1:18" ht="15.95" customHeight="1" x14ac:dyDescent="0.2">
      <c r="A82" s="811"/>
      <c r="B82" s="134" t="s">
        <v>292</v>
      </c>
      <c r="C82" s="120" t="s">
        <v>77</v>
      </c>
      <c r="D82" s="268">
        <f t="shared" si="21"/>
        <v>0</v>
      </c>
      <c r="E82" s="284">
        <f>E65*E24</f>
        <v>0</v>
      </c>
      <c r="F82" s="284">
        <f t="shared" ref="F82:P82" si="39">F65*F24</f>
        <v>0</v>
      </c>
      <c r="G82" s="284">
        <f t="shared" si="39"/>
        <v>0</v>
      </c>
      <c r="H82" s="284">
        <f t="shared" si="39"/>
        <v>0</v>
      </c>
      <c r="I82" s="284">
        <f t="shared" si="39"/>
        <v>0</v>
      </c>
      <c r="J82" s="284">
        <f t="shared" si="39"/>
        <v>0</v>
      </c>
      <c r="K82" s="284">
        <f t="shared" si="39"/>
        <v>0</v>
      </c>
      <c r="L82" s="284">
        <f t="shared" si="39"/>
        <v>0</v>
      </c>
      <c r="M82" s="284">
        <f t="shared" si="39"/>
        <v>0</v>
      </c>
      <c r="N82" s="284">
        <f t="shared" si="39"/>
        <v>0</v>
      </c>
      <c r="O82" s="284">
        <f t="shared" si="39"/>
        <v>0</v>
      </c>
      <c r="P82" s="285">
        <f t="shared" si="39"/>
        <v>0</v>
      </c>
      <c r="R82" s="352"/>
    </row>
    <row r="83" spans="1:18" x14ac:dyDescent="0.2">
      <c r="A83" s="811"/>
      <c r="B83" s="134" t="s">
        <v>293</v>
      </c>
      <c r="C83" s="120" t="s">
        <v>77</v>
      </c>
      <c r="D83" s="311">
        <f t="shared" si="21"/>
        <v>366.79999999999995</v>
      </c>
      <c r="E83" s="312">
        <f>ROUND((E69*E25),1)</f>
        <v>60.3</v>
      </c>
      <c r="F83" s="312">
        <f t="shared" ref="F83:P83" si="40">ROUND((F69*F25),1)</f>
        <v>60.3</v>
      </c>
      <c r="G83" s="312">
        <f t="shared" si="40"/>
        <v>48.5</v>
      </c>
      <c r="H83" s="312">
        <f t="shared" si="40"/>
        <v>18.100000000000001</v>
      </c>
      <c r="I83" s="312">
        <f t="shared" si="40"/>
        <v>12</v>
      </c>
      <c r="J83" s="312">
        <f t="shared" si="40"/>
        <v>6.3</v>
      </c>
      <c r="K83" s="312">
        <f t="shared" si="40"/>
        <v>6.2</v>
      </c>
      <c r="L83" s="312">
        <f t="shared" si="40"/>
        <v>6.3</v>
      </c>
      <c r="M83" s="312">
        <f t="shared" si="40"/>
        <v>6.3</v>
      </c>
      <c r="N83" s="312">
        <f t="shared" si="40"/>
        <v>34.700000000000003</v>
      </c>
      <c r="O83" s="312">
        <f t="shared" si="40"/>
        <v>36.9</v>
      </c>
      <c r="P83" s="312">
        <f t="shared" si="40"/>
        <v>70.900000000000006</v>
      </c>
      <c r="R83" s="352"/>
    </row>
    <row r="84" spans="1:18" ht="15.95" customHeight="1" x14ac:dyDescent="0.2">
      <c r="A84" s="811"/>
      <c r="B84" s="134" t="s">
        <v>132</v>
      </c>
      <c r="C84" s="120" t="s">
        <v>77</v>
      </c>
      <c r="D84" s="283">
        <f t="shared" si="21"/>
        <v>23409.615384615383</v>
      </c>
      <c r="E84" s="284">
        <f>(E58+E62+E66+E70)*E26</f>
        <v>4299.7769230769227</v>
      </c>
      <c r="F84" s="284">
        <f t="shared" ref="F84:P84" si="41">(F58+F62+F66+F70)*F26</f>
        <v>3740.4769230769225</v>
      </c>
      <c r="G84" s="284">
        <f t="shared" si="41"/>
        <v>3340.6153846153843</v>
      </c>
      <c r="H84" s="284">
        <f t="shared" si="41"/>
        <v>933.85384615384601</v>
      </c>
      <c r="I84" s="284">
        <f t="shared" si="41"/>
        <v>587.13846153846146</v>
      </c>
      <c r="J84" s="284">
        <f t="shared" si="41"/>
        <v>556.76923076923072</v>
      </c>
      <c r="K84" s="284">
        <f t="shared" si="41"/>
        <v>437.82307692307683</v>
      </c>
      <c r="L84" s="284">
        <f t="shared" si="41"/>
        <v>437.82307692307683</v>
      </c>
      <c r="M84" s="284">
        <f t="shared" si="41"/>
        <v>587.13846153846146</v>
      </c>
      <c r="N84" s="284">
        <f t="shared" si="41"/>
        <v>1455.1923076923074</v>
      </c>
      <c r="O84" s="284">
        <f t="shared" si="41"/>
        <v>3079.9461538461537</v>
      </c>
      <c r="P84" s="285">
        <f t="shared" si="41"/>
        <v>3953.061538461538</v>
      </c>
      <c r="R84" s="352"/>
    </row>
    <row r="85" spans="1:18" ht="15.95" customHeight="1" x14ac:dyDescent="0.2">
      <c r="A85" s="811"/>
      <c r="B85" s="134" t="s">
        <v>133</v>
      </c>
      <c r="C85" s="120" t="s">
        <v>77</v>
      </c>
      <c r="D85" s="268">
        <f t="shared" si="21"/>
        <v>33.14995714285714</v>
      </c>
      <c r="E85" s="284">
        <f>(E59+E63+E66+E71)*E27</f>
        <v>6.5342857142857138</v>
      </c>
      <c r="F85" s="284">
        <f t="shared" ref="F85:P85" si="42">(F59+F63+F66+F71)*F27</f>
        <v>6.5342857142857138</v>
      </c>
      <c r="G85" s="284">
        <f t="shared" si="42"/>
        <v>6.5342857142857138</v>
      </c>
      <c r="H85" s="284">
        <f t="shared" si="42"/>
        <v>0</v>
      </c>
      <c r="I85" s="284">
        <f t="shared" si="42"/>
        <v>0</v>
      </c>
      <c r="J85" s="284">
        <f t="shared" si="42"/>
        <v>0</v>
      </c>
      <c r="K85" s="284">
        <f t="shared" si="42"/>
        <v>0</v>
      </c>
      <c r="L85" s="284">
        <f t="shared" si="42"/>
        <v>0</v>
      </c>
      <c r="M85" s="284">
        <f t="shared" si="42"/>
        <v>0</v>
      </c>
      <c r="N85" s="284">
        <f t="shared" si="42"/>
        <v>0</v>
      </c>
      <c r="O85" s="284">
        <f t="shared" si="42"/>
        <v>6.7735499999999993</v>
      </c>
      <c r="P85" s="285">
        <f t="shared" si="42"/>
        <v>6.7735499999999993</v>
      </c>
      <c r="R85" s="352"/>
    </row>
    <row r="86" spans="1:18" ht="13.5" customHeight="1" thickBot="1" x14ac:dyDescent="0.25">
      <c r="A86" s="811"/>
      <c r="B86" s="139" t="s">
        <v>134</v>
      </c>
      <c r="C86" s="127" t="s">
        <v>77</v>
      </c>
      <c r="D86" s="273">
        <f t="shared" si="21"/>
        <v>0</v>
      </c>
      <c r="E86" s="313">
        <f>E72*E28</f>
        <v>0</v>
      </c>
      <c r="F86" s="313">
        <f t="shared" ref="F86:P86" si="43">F72*F28</f>
        <v>0</v>
      </c>
      <c r="G86" s="313">
        <f t="shared" si="43"/>
        <v>0</v>
      </c>
      <c r="H86" s="313">
        <f t="shared" si="43"/>
        <v>0</v>
      </c>
      <c r="I86" s="313">
        <f t="shared" si="43"/>
        <v>0</v>
      </c>
      <c r="J86" s="313">
        <f t="shared" si="43"/>
        <v>0</v>
      </c>
      <c r="K86" s="313">
        <f t="shared" si="43"/>
        <v>0</v>
      </c>
      <c r="L86" s="313">
        <f t="shared" si="43"/>
        <v>0</v>
      </c>
      <c r="M86" s="313">
        <f t="shared" si="43"/>
        <v>0</v>
      </c>
      <c r="N86" s="313">
        <f t="shared" si="43"/>
        <v>0</v>
      </c>
      <c r="O86" s="313">
        <f t="shared" si="43"/>
        <v>0</v>
      </c>
      <c r="P86" s="314">
        <f t="shared" si="43"/>
        <v>0</v>
      </c>
      <c r="R86" s="352"/>
    </row>
    <row r="87" spans="1:18" ht="15.95" customHeight="1" x14ac:dyDescent="0.2">
      <c r="A87" s="810" t="s">
        <v>119</v>
      </c>
      <c r="B87" s="133" t="s">
        <v>124</v>
      </c>
      <c r="C87" s="118" t="s">
        <v>77</v>
      </c>
      <c r="D87" s="299">
        <f t="shared" si="21"/>
        <v>0</v>
      </c>
      <c r="E87" s="281">
        <f>E80+E58*E26+E59*E27</f>
        <v>0</v>
      </c>
      <c r="F87" s="281">
        <f t="shared" ref="F87:P87" si="44">F80+F58*F26+F59*F27</f>
        <v>0</v>
      </c>
      <c r="G87" s="281">
        <f t="shared" si="44"/>
        <v>0</v>
      </c>
      <c r="H87" s="281">
        <f t="shared" si="44"/>
        <v>0</v>
      </c>
      <c r="I87" s="281">
        <f t="shared" si="44"/>
        <v>0</v>
      </c>
      <c r="J87" s="281">
        <f t="shared" si="44"/>
        <v>0</v>
      </c>
      <c r="K87" s="281">
        <f t="shared" si="44"/>
        <v>0</v>
      </c>
      <c r="L87" s="281">
        <f t="shared" si="44"/>
        <v>0</v>
      </c>
      <c r="M87" s="281">
        <f t="shared" si="44"/>
        <v>0</v>
      </c>
      <c r="N87" s="281">
        <f t="shared" si="44"/>
        <v>0</v>
      </c>
      <c r="O87" s="281">
        <f t="shared" si="44"/>
        <v>0</v>
      </c>
      <c r="P87" s="282">
        <f t="shared" si="44"/>
        <v>0</v>
      </c>
      <c r="R87" s="352"/>
    </row>
    <row r="88" spans="1:18" ht="17.25" customHeight="1" x14ac:dyDescent="0.2">
      <c r="A88" s="811"/>
      <c r="B88" s="134" t="s">
        <v>125</v>
      </c>
      <c r="C88" s="120" t="s">
        <v>77</v>
      </c>
      <c r="D88" s="268">
        <f t="shared" si="21"/>
        <v>0</v>
      </c>
      <c r="E88" s="284">
        <f>E81+E62*E26+E63*E27</f>
        <v>0</v>
      </c>
      <c r="F88" s="284">
        <f t="shared" ref="F88:P88" si="45">F81+F62*F26+F63*F27</f>
        <v>0</v>
      </c>
      <c r="G88" s="284">
        <f t="shared" si="45"/>
        <v>0</v>
      </c>
      <c r="H88" s="284">
        <f t="shared" si="45"/>
        <v>0</v>
      </c>
      <c r="I88" s="284">
        <f t="shared" si="45"/>
        <v>0</v>
      </c>
      <c r="J88" s="284">
        <f t="shared" si="45"/>
        <v>0</v>
      </c>
      <c r="K88" s="284">
        <f t="shared" si="45"/>
        <v>0</v>
      </c>
      <c r="L88" s="284">
        <f t="shared" si="45"/>
        <v>0</v>
      </c>
      <c r="M88" s="284">
        <f t="shared" si="45"/>
        <v>0</v>
      </c>
      <c r="N88" s="284">
        <f t="shared" si="45"/>
        <v>0</v>
      </c>
      <c r="O88" s="284">
        <f t="shared" si="45"/>
        <v>0</v>
      </c>
      <c r="P88" s="285">
        <f t="shared" si="45"/>
        <v>0</v>
      </c>
      <c r="R88" s="352"/>
    </row>
    <row r="89" spans="1:18" ht="21" customHeight="1" x14ac:dyDescent="0.2">
      <c r="A89" s="811"/>
      <c r="B89" s="134" t="s">
        <v>296</v>
      </c>
      <c r="C89" s="120" t="s">
        <v>77</v>
      </c>
      <c r="D89" s="268">
        <f t="shared" si="21"/>
        <v>0</v>
      </c>
      <c r="E89" s="284">
        <f>E82+E66*E26+E67*E27</f>
        <v>0</v>
      </c>
      <c r="F89" s="284">
        <f t="shared" ref="F89:P89" si="46">F82+F66*F26+F67*F27</f>
        <v>0</v>
      </c>
      <c r="G89" s="284">
        <f t="shared" si="46"/>
        <v>0</v>
      </c>
      <c r="H89" s="284">
        <f t="shared" si="46"/>
        <v>0</v>
      </c>
      <c r="I89" s="284">
        <f t="shared" si="46"/>
        <v>0</v>
      </c>
      <c r="J89" s="284">
        <f t="shared" si="46"/>
        <v>0</v>
      </c>
      <c r="K89" s="284">
        <f t="shared" si="46"/>
        <v>0</v>
      </c>
      <c r="L89" s="284">
        <f t="shared" si="46"/>
        <v>0</v>
      </c>
      <c r="M89" s="284">
        <f t="shared" si="46"/>
        <v>0</v>
      </c>
      <c r="N89" s="284">
        <f t="shared" si="46"/>
        <v>0</v>
      </c>
      <c r="O89" s="284">
        <f t="shared" si="46"/>
        <v>0</v>
      </c>
      <c r="P89" s="285">
        <f t="shared" si="46"/>
        <v>0</v>
      </c>
      <c r="R89" s="352"/>
    </row>
    <row r="90" spans="1:18" ht="19.5" customHeight="1" x14ac:dyDescent="0.2">
      <c r="A90" s="811"/>
      <c r="B90" s="134" t="s">
        <v>297</v>
      </c>
      <c r="C90" s="120" t="s">
        <v>77</v>
      </c>
      <c r="D90" s="268">
        <f t="shared" si="21"/>
        <v>23809.565341758236</v>
      </c>
      <c r="E90" s="284">
        <f>E83+E70*E26+E71*E27+E86</f>
        <v>4366.6112087912088</v>
      </c>
      <c r="F90" s="284">
        <f t="shared" ref="F90:P90" si="47">F83+F70*F26+F71*F27+F86</f>
        <v>3807.3112087912082</v>
      </c>
      <c r="G90" s="284">
        <f t="shared" si="47"/>
        <v>3395.6496703296698</v>
      </c>
      <c r="H90" s="284">
        <f t="shared" si="47"/>
        <v>951.95384615384603</v>
      </c>
      <c r="I90" s="284">
        <f t="shared" si="47"/>
        <v>599.13846153846146</v>
      </c>
      <c r="J90" s="284">
        <f t="shared" si="47"/>
        <v>563.06923076923067</v>
      </c>
      <c r="K90" s="284">
        <f t="shared" si="47"/>
        <v>444.02307692307681</v>
      </c>
      <c r="L90" s="284">
        <f t="shared" si="47"/>
        <v>444.12307692307684</v>
      </c>
      <c r="M90" s="284">
        <f t="shared" si="47"/>
        <v>593.43846153846141</v>
      </c>
      <c r="N90" s="284">
        <f t="shared" si="47"/>
        <v>1489.8923076923074</v>
      </c>
      <c r="O90" s="284">
        <f t="shared" si="47"/>
        <v>3123.6197038461537</v>
      </c>
      <c r="P90" s="285">
        <f t="shared" si="47"/>
        <v>4030.735088461538</v>
      </c>
      <c r="R90" s="352"/>
    </row>
    <row r="91" spans="1:18" ht="28.5" customHeight="1" thickBot="1" x14ac:dyDescent="0.25">
      <c r="A91" s="811"/>
      <c r="B91" s="140" t="s">
        <v>114</v>
      </c>
      <c r="C91" s="141" t="s">
        <v>77</v>
      </c>
      <c r="D91" s="315">
        <f>SUM(E91:P91)</f>
        <v>23809.565341758236</v>
      </c>
      <c r="E91" s="287">
        <f>E87+E88+E89+E90</f>
        <v>4366.6112087912088</v>
      </c>
      <c r="F91" s="287">
        <f t="shared" ref="F91:P91" si="48">F87+F88+F89+F90</f>
        <v>3807.3112087912082</v>
      </c>
      <c r="G91" s="287">
        <f t="shared" si="48"/>
        <v>3395.6496703296698</v>
      </c>
      <c r="H91" s="287">
        <f t="shared" si="48"/>
        <v>951.95384615384603</v>
      </c>
      <c r="I91" s="287">
        <f t="shared" si="48"/>
        <v>599.13846153846146</v>
      </c>
      <c r="J91" s="287">
        <f t="shared" si="48"/>
        <v>563.06923076923067</v>
      </c>
      <c r="K91" s="287">
        <f t="shared" si="48"/>
        <v>444.02307692307681</v>
      </c>
      <c r="L91" s="287">
        <f t="shared" si="48"/>
        <v>444.12307692307684</v>
      </c>
      <c r="M91" s="287">
        <f t="shared" si="48"/>
        <v>593.43846153846141</v>
      </c>
      <c r="N91" s="287">
        <f t="shared" si="48"/>
        <v>1489.8923076923074</v>
      </c>
      <c r="O91" s="287">
        <f t="shared" si="48"/>
        <v>3123.6197038461537</v>
      </c>
      <c r="P91" s="288">
        <f t="shared" si="48"/>
        <v>4030.735088461538</v>
      </c>
      <c r="R91" s="352"/>
    </row>
    <row r="92" spans="1:18" x14ac:dyDescent="0.2">
      <c r="A92" s="806" t="s">
        <v>163</v>
      </c>
      <c r="B92" s="807"/>
      <c r="C92" s="316" t="s">
        <v>22</v>
      </c>
      <c r="D92" s="317">
        <f>IF((D34+D55)=0,0,(D35+D57+D61+D65+D69)/(D34+D55))</f>
        <v>5.839210974468349E-3</v>
      </c>
      <c r="E92" s="318">
        <f t="shared" ref="E92:P92" si="49">IF((E34+E55)=0,0,(E35+E57+E61+E65+E69)/(E34+E55))</f>
        <v>5.9083889471071424E-3</v>
      </c>
      <c r="F92" s="318">
        <f t="shared" si="49"/>
        <v>6.8145132433743124E-3</v>
      </c>
      <c r="G92" s="318">
        <f t="shared" si="49"/>
        <v>6.1349229163200599E-3</v>
      </c>
      <c r="H92" s="318">
        <f t="shared" si="49"/>
        <v>7.0033203977885291E-3</v>
      </c>
      <c r="I92" s="318">
        <f>IF((I34+I55)=0,0,(I35+I57+I61+I65+I69)/(I34+I55))</f>
        <v>6.8398512943045791E-3</v>
      </c>
      <c r="J92" s="318">
        <f t="shared" si="49"/>
        <v>3.4860075530163057E-3</v>
      </c>
      <c r="K92" s="318">
        <f t="shared" si="49"/>
        <v>4.4845147233768803E-3</v>
      </c>
      <c r="L92" s="318">
        <f t="shared" si="49"/>
        <v>3.8465904917090628E-3</v>
      </c>
      <c r="M92" s="318">
        <f t="shared" si="49"/>
        <v>3.9735921687121022E-3</v>
      </c>
      <c r="N92" s="318">
        <f t="shared" si="49"/>
        <v>9.3504892931539005E-3</v>
      </c>
      <c r="O92" s="318">
        <f t="shared" si="49"/>
        <v>5.34767335188011E-3</v>
      </c>
      <c r="P92" s="319">
        <f t="shared" si="49"/>
        <v>7.6978520974483929E-3</v>
      </c>
      <c r="R92" s="352"/>
    </row>
    <row r="93" spans="1:18" x14ac:dyDescent="0.2">
      <c r="A93" s="804" t="s">
        <v>165</v>
      </c>
      <c r="B93" s="805"/>
      <c r="C93" s="320" t="s">
        <v>22</v>
      </c>
      <c r="D93" s="317">
        <f>IF((D34+D55)=0,0,(D37+D59+D63+D67+D71)/(D34+D55))</f>
        <v>4.0662863957824445E-4</v>
      </c>
      <c r="E93" s="318">
        <f t="shared" ref="E93:P93" si="50">IF((E34+E55)=0,0,(E37+E59+E63+E67+E71)/(E34+E55))</f>
        <v>4.8259886382438923E-4</v>
      </c>
      <c r="F93" s="318">
        <f t="shared" si="50"/>
        <v>5.5661135010058767E-4</v>
      </c>
      <c r="G93" s="318">
        <f t="shared" si="50"/>
        <v>5.295247893247802E-4</v>
      </c>
      <c r="H93" s="318">
        <f t="shared" si="50"/>
        <v>4.6139522620724887E-4</v>
      </c>
      <c r="I93" s="318">
        <f t="shared" si="50"/>
        <v>4.2749070589402806E-4</v>
      </c>
      <c r="J93" s="318">
        <f t="shared" si="50"/>
        <v>2.5418805074077662E-4</v>
      </c>
      <c r="K93" s="318">
        <f t="shared" si="50"/>
        <v>2.8069987836338607E-4</v>
      </c>
      <c r="L93" s="318">
        <f t="shared" si="50"/>
        <v>2.8048055668712397E-4</v>
      </c>
      <c r="M93" s="318">
        <f t="shared" si="50"/>
        <v>3.8632146084700982E-4</v>
      </c>
      <c r="N93" s="318">
        <f t="shared" si="50"/>
        <v>3.7509126104342351E-4</v>
      </c>
      <c r="O93" s="318">
        <f t="shared" si="50"/>
        <v>5.2208805387948722E-4</v>
      </c>
      <c r="P93" s="319">
        <f t="shared" si="50"/>
        <v>4.0363269424823416E-4</v>
      </c>
      <c r="R93" s="352"/>
    </row>
    <row r="94" spans="1:18" x14ac:dyDescent="0.2">
      <c r="A94" s="804" t="s">
        <v>164</v>
      </c>
      <c r="B94" s="805"/>
      <c r="C94" s="320" t="s">
        <v>22</v>
      </c>
      <c r="D94" s="317">
        <f>IF((D34+D55)=0,0,(D36+D58+D62+D66+D70)/(D34+D55))</f>
        <v>0.99375416038595366</v>
      </c>
      <c r="E94" s="318">
        <f t="shared" ref="E94:P94" si="51">IF((E34+E55)=0,0,(E36+E58+E62+E66+E70)/(E34+E55))</f>
        <v>0.9936090121890685</v>
      </c>
      <c r="F94" s="318">
        <f>IF((F34+F55)=0,0,(F36+F58+F62+F66+F70)/(F34+F55))</f>
        <v>0.992628875406525</v>
      </c>
      <c r="G94" s="318">
        <f t="shared" si="51"/>
        <v>0.993335552294355</v>
      </c>
      <c r="H94" s="318">
        <f t="shared" si="51"/>
        <v>0.99253528437600425</v>
      </c>
      <c r="I94" s="318">
        <f t="shared" si="51"/>
        <v>0.99273265799980137</v>
      </c>
      <c r="J94" s="318">
        <f t="shared" si="51"/>
        <v>0.99625980439624284</v>
      </c>
      <c r="K94" s="318">
        <f t="shared" si="51"/>
        <v>0.99523478539825971</v>
      </c>
      <c r="L94" s="318">
        <f t="shared" si="51"/>
        <v>0.99587292895160373</v>
      </c>
      <c r="M94" s="318">
        <f t="shared" si="51"/>
        <v>0.99564008637044088</v>
      </c>
      <c r="N94" s="318">
        <f t="shared" si="51"/>
        <v>0.99027441944580263</v>
      </c>
      <c r="O94" s="318">
        <f t="shared" si="51"/>
        <v>0.99413023859424055</v>
      </c>
      <c r="P94" s="319">
        <f t="shared" si="51"/>
        <v>0.99189851520830352</v>
      </c>
      <c r="R94" s="352"/>
    </row>
    <row r="95" spans="1:18" ht="13.5" thickBot="1" x14ac:dyDescent="0.25">
      <c r="A95" s="819" t="s">
        <v>166</v>
      </c>
      <c r="B95" s="820"/>
      <c r="C95" s="321" t="s">
        <v>22</v>
      </c>
      <c r="D95" s="322">
        <f>IF((D34+D55)=0,0,(D38+D72)/(D34+D55))</f>
        <v>0</v>
      </c>
      <c r="E95" s="323">
        <f>IF((E34+E55)=0,0,(E38+E72)/(E34+E55))</f>
        <v>0</v>
      </c>
      <c r="F95" s="323">
        <f t="shared" ref="F95:P95" si="52">IF((F34+F55)=0,0,(F38+F72)/(F34+F55))</f>
        <v>0</v>
      </c>
      <c r="G95" s="323">
        <f t="shared" si="52"/>
        <v>0</v>
      </c>
      <c r="H95" s="323">
        <f t="shared" si="52"/>
        <v>0</v>
      </c>
      <c r="I95" s="323">
        <f t="shared" si="52"/>
        <v>0</v>
      </c>
      <c r="J95" s="323">
        <f t="shared" si="52"/>
        <v>0</v>
      </c>
      <c r="K95" s="323">
        <f t="shared" si="52"/>
        <v>0</v>
      </c>
      <c r="L95" s="323">
        <f t="shared" si="52"/>
        <v>0</v>
      </c>
      <c r="M95" s="323">
        <f t="shared" si="52"/>
        <v>0</v>
      </c>
      <c r="N95" s="323">
        <f t="shared" si="52"/>
        <v>0</v>
      </c>
      <c r="O95" s="323">
        <f t="shared" si="52"/>
        <v>0</v>
      </c>
      <c r="P95" s="324">
        <f t="shared" si="52"/>
        <v>0</v>
      </c>
      <c r="R95" s="352"/>
    </row>
    <row r="96" spans="1:18" x14ac:dyDescent="0.2">
      <c r="R96" s="352"/>
    </row>
    <row r="97" spans="2:18" s="763" customFormat="1" x14ac:dyDescent="0.2">
      <c r="B97" s="759" t="s">
        <v>370</v>
      </c>
      <c r="C97" s="760"/>
      <c r="D97" s="761">
        <f>D76+D39</f>
        <v>8.4260000000000002</v>
      </c>
      <c r="E97" s="761">
        <f t="shared" ref="E97:P97" si="53">E76+E39</f>
        <v>0.73299999999999998</v>
      </c>
      <c r="F97" s="761">
        <f t="shared" si="53"/>
        <v>0.73299999999999998</v>
      </c>
      <c r="G97" s="761">
        <f>G76+G39</f>
        <v>0.69400000000000006</v>
      </c>
      <c r="H97" s="761">
        <f t="shared" si="53"/>
        <v>0.72699999999999998</v>
      </c>
      <c r="I97" s="761">
        <f t="shared" si="53"/>
        <v>0.76600000000000001</v>
      </c>
      <c r="J97" s="761">
        <f t="shared" si="53"/>
        <v>0.49299999999999999</v>
      </c>
      <c r="K97" s="761">
        <f t="shared" si="53"/>
        <v>0.57399999999999995</v>
      </c>
      <c r="L97" s="761">
        <f t="shared" si="53"/>
        <v>0.49299999999999999</v>
      </c>
      <c r="M97" s="761">
        <f t="shared" si="53"/>
        <v>0.49299999999999999</v>
      </c>
      <c r="N97" s="761">
        <f t="shared" si="53"/>
        <v>1.194</v>
      </c>
      <c r="O97" s="761">
        <f t="shared" si="53"/>
        <v>0.61299999999999999</v>
      </c>
      <c r="P97" s="761">
        <f t="shared" si="53"/>
        <v>0.91300000000000003</v>
      </c>
      <c r="Q97" s="762"/>
      <c r="R97" s="762"/>
    </row>
    <row r="98" spans="2:18" s="763" customFormat="1" ht="13.5" customHeight="1" x14ac:dyDescent="0.2">
      <c r="B98" s="759" t="s">
        <v>132</v>
      </c>
      <c r="C98" s="760"/>
      <c r="D98" s="761">
        <f t="shared" ref="D98:P99" si="54">D77+D40</f>
        <v>2256.8356153846157</v>
      </c>
      <c r="E98" s="761">
        <f t="shared" si="54"/>
        <v>194.00900000000001</v>
      </c>
      <c r="F98" s="761">
        <f t="shared" si="54"/>
        <v>168.04600000000002</v>
      </c>
      <c r="G98" s="761">
        <f t="shared" si="54"/>
        <v>176.768</v>
      </c>
      <c r="H98" s="761">
        <f t="shared" si="54"/>
        <v>162.16500000000002</v>
      </c>
      <c r="I98" s="761">
        <f t="shared" si="54"/>
        <v>175.06</v>
      </c>
      <c r="J98" s="761">
        <f t="shared" si="54"/>
        <v>221.59700000000001</v>
      </c>
      <c r="K98" s="761">
        <f t="shared" si="54"/>
        <v>200.46</v>
      </c>
      <c r="L98" s="761">
        <f t="shared" si="54"/>
        <v>200.745</v>
      </c>
      <c r="M98" s="761">
        <f t="shared" si="54"/>
        <v>194.28234615384613</v>
      </c>
      <c r="N98" s="761">
        <f t="shared" si="54"/>
        <v>199.0221153846154</v>
      </c>
      <c r="O98" s="761">
        <f t="shared" si="54"/>
        <v>179.42884615384614</v>
      </c>
      <c r="P98" s="761">
        <f t="shared" si="54"/>
        <v>185.25230769230768</v>
      </c>
      <c r="Q98" s="762"/>
      <c r="R98" s="762"/>
    </row>
    <row r="99" spans="2:18" s="763" customFormat="1" ht="17.25" customHeight="1" x14ac:dyDescent="0.2">
      <c r="B99" s="759" t="s">
        <v>133</v>
      </c>
      <c r="C99" s="760"/>
      <c r="D99" s="761">
        <f t="shared" si="54"/>
        <v>0.49</v>
      </c>
      <c r="E99" s="761">
        <f t="shared" si="54"/>
        <v>0.05</v>
      </c>
      <c r="F99" s="761">
        <f t="shared" si="54"/>
        <v>0.05</v>
      </c>
      <c r="G99" s="761">
        <f t="shared" si="54"/>
        <v>0.05</v>
      </c>
      <c r="H99" s="761">
        <f t="shared" si="54"/>
        <v>0.04</v>
      </c>
      <c r="I99" s="761">
        <f t="shared" si="54"/>
        <v>0.04</v>
      </c>
      <c r="J99" s="761">
        <f t="shared" si="54"/>
        <v>0.03</v>
      </c>
      <c r="K99" s="761">
        <f t="shared" si="54"/>
        <v>0.03</v>
      </c>
      <c r="L99" s="761">
        <f t="shared" si="54"/>
        <v>0.03</v>
      </c>
      <c r="M99" s="761">
        <f t="shared" si="54"/>
        <v>0.04</v>
      </c>
      <c r="N99" s="761">
        <f t="shared" si="54"/>
        <v>0.04</v>
      </c>
      <c r="O99" s="761">
        <f t="shared" si="54"/>
        <v>0.05</v>
      </c>
      <c r="P99" s="761">
        <f t="shared" si="54"/>
        <v>0.04</v>
      </c>
      <c r="Q99" s="762"/>
      <c r="R99" s="762"/>
    </row>
    <row r="100" spans="2:18" s="763" customFormat="1" x14ac:dyDescent="0.2">
      <c r="B100" s="759"/>
      <c r="C100" s="760"/>
      <c r="D100" s="761"/>
      <c r="E100" s="761"/>
      <c r="F100" s="761"/>
      <c r="G100" s="761"/>
      <c r="H100" s="761"/>
      <c r="I100" s="761"/>
      <c r="J100" s="761"/>
      <c r="K100" s="761"/>
      <c r="L100" s="761"/>
      <c r="M100" s="761"/>
      <c r="N100" s="761"/>
      <c r="O100" s="761"/>
      <c r="P100" s="761"/>
      <c r="Q100" s="762"/>
      <c r="R100" s="762"/>
    </row>
    <row r="101" spans="2:18" x14ac:dyDescent="0.2">
      <c r="D101" s="356"/>
      <c r="E101" s="356"/>
      <c r="F101" s="356"/>
      <c r="G101" s="356"/>
      <c r="H101" s="356"/>
      <c r="I101" s="356"/>
      <c r="J101" s="356"/>
      <c r="K101" s="356"/>
      <c r="L101" s="356"/>
      <c r="M101" s="356"/>
      <c r="N101" s="356"/>
      <c r="O101" s="356"/>
      <c r="P101" s="356"/>
      <c r="R101" s="352"/>
    </row>
    <row r="102" spans="2:18" x14ac:dyDescent="0.2">
      <c r="B102" s="791" t="s">
        <v>358</v>
      </c>
      <c r="C102" s="189"/>
      <c r="D102" s="190"/>
      <c r="E102" s="191"/>
      <c r="F102" s="191"/>
      <c r="G102" s="792" t="s">
        <v>359</v>
      </c>
      <c r="H102" s="792"/>
      <c r="I102" s="191"/>
      <c r="J102" s="110"/>
      <c r="R102" s="352"/>
    </row>
    <row r="103" spans="2:18" x14ac:dyDescent="0.2">
      <c r="B103" s="791"/>
      <c r="C103" s="812" t="s">
        <v>25</v>
      </c>
      <c r="D103" s="812"/>
      <c r="E103" s="192" t="s">
        <v>26</v>
      </c>
      <c r="F103" s="193"/>
      <c r="G103" s="812" t="s">
        <v>27</v>
      </c>
      <c r="H103" s="812"/>
      <c r="I103" s="191"/>
      <c r="J103" s="110"/>
      <c r="R103" s="352"/>
    </row>
    <row r="104" spans="2:18" ht="15.75" x14ac:dyDescent="0.2">
      <c r="B104" s="219"/>
      <c r="C104" s="194"/>
      <c r="D104" s="194"/>
      <c r="E104" s="192"/>
      <c r="F104" s="193"/>
      <c r="G104" s="194"/>
      <c r="H104" s="194"/>
      <c r="I104" s="191"/>
      <c r="J104" s="110"/>
      <c r="R104" s="352"/>
    </row>
    <row r="105" spans="2:18" ht="15.75" x14ac:dyDescent="0.2">
      <c r="B105" s="197"/>
      <c r="C105" s="194"/>
      <c r="D105" s="194"/>
      <c r="E105" s="192"/>
      <c r="F105" s="192"/>
      <c r="G105" s="194"/>
      <c r="H105" s="194"/>
      <c r="I105" s="191"/>
      <c r="J105" s="110"/>
      <c r="R105" s="352"/>
    </row>
    <row r="106" spans="2:18" ht="15.75" x14ac:dyDescent="0.2">
      <c r="B106" s="197" t="s">
        <v>376</v>
      </c>
      <c r="C106" s="189"/>
      <c r="D106" s="190"/>
      <c r="E106" s="191"/>
      <c r="F106" s="191"/>
      <c r="G106" s="792" t="s">
        <v>424</v>
      </c>
      <c r="H106" s="792"/>
      <c r="I106" s="191"/>
      <c r="J106" s="110"/>
      <c r="R106" s="352"/>
    </row>
    <row r="107" spans="2:18" ht="15.75" x14ac:dyDescent="0.2">
      <c r="B107" s="197"/>
      <c r="C107" s="812" t="s">
        <v>25</v>
      </c>
      <c r="D107" s="812"/>
      <c r="E107" s="192"/>
      <c r="F107" s="193"/>
      <c r="G107" s="812" t="s">
        <v>27</v>
      </c>
      <c r="H107" s="812"/>
      <c r="I107" s="191"/>
      <c r="J107" s="110"/>
      <c r="R107" s="352"/>
    </row>
    <row r="108" spans="2:18" ht="15.75" x14ac:dyDescent="0.25">
      <c r="B108" s="195" t="s">
        <v>360</v>
      </c>
      <c r="C108" s="790" t="s">
        <v>361</v>
      </c>
      <c r="D108" s="790"/>
      <c r="E108" s="196"/>
      <c r="F108" s="196"/>
      <c r="G108" s="802" t="s">
        <v>365</v>
      </c>
      <c r="H108" s="802"/>
      <c r="I108" s="802"/>
      <c r="J108" s="803"/>
      <c r="K108" s="803"/>
      <c r="L108" s="803"/>
      <c r="M108" s="803"/>
      <c r="R108" s="352"/>
    </row>
    <row r="109" spans="2:18" x14ac:dyDescent="0.2">
      <c r="R109" s="352"/>
    </row>
    <row r="110" spans="2:18" x14ac:dyDescent="0.2">
      <c r="D110" s="356"/>
      <c r="E110" s="105" t="s">
        <v>371</v>
      </c>
      <c r="R110" s="352"/>
    </row>
    <row r="111" spans="2:18" x14ac:dyDescent="0.2">
      <c r="D111" s="356"/>
      <c r="R111" s="352"/>
    </row>
    <row r="112" spans="2:18" x14ac:dyDescent="0.2">
      <c r="D112" s="356"/>
    </row>
    <row r="113" spans="2:4" hidden="1" x14ac:dyDescent="0.2"/>
    <row r="114" spans="2:4" hidden="1" x14ac:dyDescent="0.2"/>
    <row r="115" spans="2:4" hidden="1" x14ac:dyDescent="0.2"/>
    <row r="116" spans="2:4" hidden="1" x14ac:dyDescent="0.2"/>
    <row r="117" spans="2:4" hidden="1" x14ac:dyDescent="0.2"/>
    <row r="118" spans="2:4" hidden="1" x14ac:dyDescent="0.2"/>
    <row r="119" spans="2:4" hidden="1" x14ac:dyDescent="0.2"/>
    <row r="120" spans="2:4" hidden="1" x14ac:dyDescent="0.2"/>
    <row r="121" spans="2:4" hidden="1" x14ac:dyDescent="0.2"/>
    <row r="122" spans="2:4" hidden="1" x14ac:dyDescent="0.2"/>
    <row r="123" spans="2:4" hidden="1" x14ac:dyDescent="0.2"/>
    <row r="124" spans="2:4" hidden="1" x14ac:dyDescent="0.2"/>
    <row r="125" spans="2:4" hidden="1" x14ac:dyDescent="0.2">
      <c r="D125" s="142"/>
    </row>
    <row r="126" spans="2:4" ht="12.75" hidden="1" customHeight="1" x14ac:dyDescent="0.2">
      <c r="D126" s="210">
        <f>D91+D47</f>
        <v>4307101.3086970067</v>
      </c>
    </row>
    <row r="127" spans="2:4" hidden="1" x14ac:dyDescent="0.2"/>
    <row r="128" spans="2:4" ht="27" hidden="1" customHeight="1" x14ac:dyDescent="0.45">
      <c r="B128" s="143"/>
      <c r="C128" s="144" t="s">
        <v>343</v>
      </c>
    </row>
    <row r="129" spans="2:16" hidden="1" x14ac:dyDescent="0.2"/>
    <row r="130" spans="2:16" ht="18.75" hidden="1" customHeight="1" x14ac:dyDescent="0.2">
      <c r="B130" s="133" t="s">
        <v>129</v>
      </c>
      <c r="C130" s="123" t="s">
        <v>157</v>
      </c>
      <c r="F130" s="105">
        <v>10580.74</v>
      </c>
    </row>
    <row r="131" spans="2:16" ht="17.25" hidden="1" customHeight="1" x14ac:dyDescent="0.2">
      <c r="B131" s="134" t="s">
        <v>130</v>
      </c>
      <c r="C131" s="124" t="s">
        <v>157</v>
      </c>
      <c r="F131" s="105">
        <v>2978.22</v>
      </c>
    </row>
    <row r="132" spans="2:16" ht="18.75" hidden="1" customHeight="1" x14ac:dyDescent="0.2">
      <c r="B132" s="134" t="s">
        <v>292</v>
      </c>
      <c r="C132" s="124" t="s">
        <v>157</v>
      </c>
      <c r="F132" s="105">
        <v>9334.7000000000007</v>
      </c>
    </row>
    <row r="133" spans="2:16" ht="17.25" hidden="1" customHeight="1" x14ac:dyDescent="0.2">
      <c r="B133" s="134" t="s">
        <v>293</v>
      </c>
      <c r="C133" s="124" t="s">
        <v>157</v>
      </c>
      <c r="D133" s="103">
        <f>SUM(E133:P133)</f>
        <v>8.4260000000000002</v>
      </c>
      <c r="E133" s="145">
        <f>E39+E76</f>
        <v>0.73299999999999998</v>
      </c>
      <c r="F133" s="104">
        <f t="shared" ref="F133:P133" si="55">F39+F76</f>
        <v>0.73299999999999998</v>
      </c>
      <c r="G133" s="145">
        <f t="shared" si="55"/>
        <v>0.69400000000000006</v>
      </c>
      <c r="H133" s="104">
        <f t="shared" si="55"/>
        <v>0.72699999999999998</v>
      </c>
      <c r="I133" s="104">
        <f t="shared" si="55"/>
        <v>0.76600000000000001</v>
      </c>
      <c r="J133" s="104">
        <f t="shared" si="55"/>
        <v>0.49299999999999999</v>
      </c>
      <c r="K133" s="104">
        <f t="shared" si="55"/>
        <v>0.57399999999999995</v>
      </c>
      <c r="L133" s="104">
        <f t="shared" si="55"/>
        <v>0.49299999999999999</v>
      </c>
      <c r="M133" s="104">
        <f t="shared" si="55"/>
        <v>0.49299999999999999</v>
      </c>
      <c r="N133" s="104">
        <f t="shared" si="55"/>
        <v>1.194</v>
      </c>
      <c r="O133" s="104">
        <f t="shared" si="55"/>
        <v>0.61299999999999999</v>
      </c>
      <c r="P133" s="104">
        <f t="shared" si="55"/>
        <v>0.91300000000000003</v>
      </c>
    </row>
    <row r="134" spans="2:16" hidden="1" x14ac:dyDescent="0.2">
      <c r="B134" s="134" t="s">
        <v>132</v>
      </c>
      <c r="C134" s="120" t="s">
        <v>80</v>
      </c>
      <c r="D134" s="103">
        <f>SUM(E134:P134)</f>
        <v>2256.8356153846153</v>
      </c>
      <c r="E134" s="104">
        <f t="shared" ref="E134:P135" si="56">E40+E77</f>
        <v>194.00900000000001</v>
      </c>
      <c r="F134" s="104">
        <f t="shared" si="56"/>
        <v>168.04600000000002</v>
      </c>
      <c r="G134" s="145">
        <f t="shared" si="56"/>
        <v>176.768</v>
      </c>
      <c r="H134" s="146">
        <f t="shared" si="56"/>
        <v>162.16500000000002</v>
      </c>
      <c r="I134" s="146">
        <f t="shared" si="56"/>
        <v>175.06</v>
      </c>
      <c r="J134" s="147">
        <f t="shared" si="56"/>
        <v>221.59700000000001</v>
      </c>
      <c r="K134" s="104">
        <f t="shared" si="56"/>
        <v>200.46</v>
      </c>
      <c r="L134" s="104">
        <f t="shared" si="56"/>
        <v>200.745</v>
      </c>
      <c r="M134" s="145">
        <f t="shared" si="56"/>
        <v>194.28234615384613</v>
      </c>
      <c r="N134" s="145">
        <f t="shared" si="56"/>
        <v>199.0221153846154</v>
      </c>
      <c r="O134" s="104">
        <f t="shared" si="56"/>
        <v>179.42884615384614</v>
      </c>
      <c r="P134" s="104">
        <f t="shared" si="56"/>
        <v>185.25230769230768</v>
      </c>
    </row>
    <row r="135" spans="2:16" hidden="1" x14ac:dyDescent="0.2">
      <c r="B135" s="134" t="s">
        <v>133</v>
      </c>
      <c r="C135" s="120" t="s">
        <v>80</v>
      </c>
      <c r="D135" s="103">
        <f>SUM(E135:P135)</f>
        <v>0.49</v>
      </c>
      <c r="E135" s="104">
        <f t="shared" si="56"/>
        <v>0.05</v>
      </c>
      <c r="F135" s="104">
        <f t="shared" si="56"/>
        <v>0.05</v>
      </c>
      <c r="G135" s="104">
        <f t="shared" si="56"/>
        <v>0.05</v>
      </c>
      <c r="H135" s="104">
        <f t="shared" si="56"/>
        <v>0.04</v>
      </c>
      <c r="I135" s="104">
        <f t="shared" si="56"/>
        <v>0.04</v>
      </c>
      <c r="J135" s="104">
        <f t="shared" si="56"/>
        <v>0.03</v>
      </c>
      <c r="K135" s="104">
        <f t="shared" si="56"/>
        <v>0.03</v>
      </c>
      <c r="L135" s="104">
        <f t="shared" si="56"/>
        <v>0.03</v>
      </c>
      <c r="M135" s="104">
        <f t="shared" si="56"/>
        <v>0.04</v>
      </c>
      <c r="N135" s="104">
        <f t="shared" si="56"/>
        <v>0.04</v>
      </c>
      <c r="O135" s="104">
        <f t="shared" si="56"/>
        <v>0.05</v>
      </c>
      <c r="P135" s="104">
        <f t="shared" si="56"/>
        <v>0.04</v>
      </c>
    </row>
    <row r="136" spans="2:16" ht="16.5" hidden="1" thickBot="1" x14ac:dyDescent="0.25">
      <c r="B136" s="135" t="s">
        <v>134</v>
      </c>
      <c r="C136" s="125" t="s">
        <v>157</v>
      </c>
    </row>
    <row r="137" spans="2:16" hidden="1" x14ac:dyDescent="0.2"/>
    <row r="138" spans="2:16" hidden="1" x14ac:dyDescent="0.2"/>
    <row r="139" spans="2:16" hidden="1" x14ac:dyDescent="0.2"/>
    <row r="140" spans="2:16" hidden="1" x14ac:dyDescent="0.2"/>
    <row r="141" spans="2:16" hidden="1" x14ac:dyDescent="0.2"/>
    <row r="142" spans="2:16" hidden="1" x14ac:dyDescent="0.2"/>
    <row r="143" spans="2:16" hidden="1" x14ac:dyDescent="0.2"/>
    <row r="144" spans="2:16"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sheetData>
  <mergeCells count="36">
    <mergeCell ref="O1:P1"/>
    <mergeCell ref="A2:P2"/>
    <mergeCell ref="A95:B95"/>
    <mergeCell ref="A4:A14"/>
    <mergeCell ref="A15:A21"/>
    <mergeCell ref="A22:A30"/>
    <mergeCell ref="A31:P31"/>
    <mergeCell ref="A34:A38"/>
    <mergeCell ref="A39:A42"/>
    <mergeCell ref="A43:A47"/>
    <mergeCell ref="A3:B3"/>
    <mergeCell ref="A73:A79"/>
    <mergeCell ref="A52:B52"/>
    <mergeCell ref="A53:B53"/>
    <mergeCell ref="G107:H107"/>
    <mergeCell ref="G103:H103"/>
    <mergeCell ref="C103:D103"/>
    <mergeCell ref="G106:H106"/>
    <mergeCell ref="A50:B50"/>
    <mergeCell ref="A55:A72"/>
    <mergeCell ref="C108:D108"/>
    <mergeCell ref="B102:B103"/>
    <mergeCell ref="G102:H102"/>
    <mergeCell ref="A32:B32"/>
    <mergeCell ref="A33:B33"/>
    <mergeCell ref="A48:P48"/>
    <mergeCell ref="A49:B49"/>
    <mergeCell ref="G108:M108"/>
    <mergeCell ref="A93:B93"/>
    <mergeCell ref="A94:B94"/>
    <mergeCell ref="A92:B92"/>
    <mergeCell ref="A51:B51"/>
    <mergeCell ref="A54:B54"/>
    <mergeCell ref="A80:A86"/>
    <mergeCell ref="A87:A91"/>
    <mergeCell ref="C107:D107"/>
  </mergeCells>
  <phoneticPr fontId="9" type="noConversion"/>
  <pageMargins left="0.19685039370078741" right="0.19685039370078741" top="0.35433070866141736" bottom="0.23622047244094491" header="0.31496062992125984" footer="0.19685039370078741"/>
  <pageSetup paperSize="9" scale="70"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3">
    <tabColor indexed="50"/>
  </sheetPr>
  <dimension ref="A1:W123"/>
  <sheetViews>
    <sheetView topLeftCell="B1" zoomScale="90" zoomScaleNormal="90" workbookViewId="0">
      <pane xSplit="1" ySplit="6" topLeftCell="C91" activePane="bottomRight" state="frozen"/>
      <selection activeCell="B1" sqref="B1"/>
      <selection pane="topRight" activeCell="C1" sqref="C1"/>
      <selection pane="bottomLeft" activeCell="B7" sqref="B7"/>
      <selection pane="bottomRight" activeCell="D38" sqref="D38"/>
    </sheetView>
  </sheetViews>
  <sheetFormatPr defaultRowHeight="12.75" x14ac:dyDescent="0.2"/>
  <cols>
    <col min="1" max="1" width="2.5703125" style="2" customWidth="1"/>
    <col min="2" max="2" width="109.5703125" style="211" customWidth="1"/>
    <col min="3" max="3" width="23" style="2" customWidth="1"/>
    <col min="4" max="4" width="17.7109375" style="148" customWidth="1"/>
    <col min="5" max="5" width="15.5703125" style="2" customWidth="1"/>
    <col min="6" max="6" width="16.85546875" style="2" customWidth="1"/>
    <col min="7" max="7" width="11.85546875" style="2" customWidth="1"/>
    <col min="8" max="8" width="25.5703125" style="2" customWidth="1"/>
    <col min="9" max="9" width="10.85546875" style="148" customWidth="1"/>
    <col min="10" max="23" width="9.140625" style="148"/>
    <col min="24" max="16384" width="9.140625" style="2"/>
  </cols>
  <sheetData>
    <row r="1" spans="2:9" x14ac:dyDescent="0.2">
      <c r="G1" s="832" t="s">
        <v>316</v>
      </c>
      <c r="H1" s="832"/>
    </row>
    <row r="2" spans="2:9" x14ac:dyDescent="0.2">
      <c r="B2" s="830" t="s">
        <v>299</v>
      </c>
      <c r="C2" s="830"/>
      <c r="D2" s="830"/>
      <c r="E2" s="830"/>
      <c r="F2" s="830"/>
      <c r="G2" s="830"/>
      <c r="H2" s="830"/>
    </row>
    <row r="3" spans="2:9" ht="24.75" customHeight="1" thickBot="1" x14ac:dyDescent="0.25">
      <c r="B3" s="831" t="s">
        <v>368</v>
      </c>
      <c r="C3" s="830"/>
      <c r="D3" s="830"/>
      <c r="E3" s="830"/>
      <c r="F3" s="830"/>
      <c r="G3" s="830"/>
      <c r="H3" s="830"/>
    </row>
    <row r="4" spans="2:9" ht="26.25" customHeight="1" thickBot="1" x14ac:dyDescent="0.25">
      <c r="B4" s="837" t="s">
        <v>127</v>
      </c>
      <c r="C4" s="839" t="s">
        <v>369</v>
      </c>
      <c r="D4" s="841" t="s">
        <v>344</v>
      </c>
      <c r="E4" s="833" t="s">
        <v>428</v>
      </c>
      <c r="F4" s="835" t="s">
        <v>313</v>
      </c>
      <c r="G4" s="835"/>
      <c r="H4" s="836"/>
    </row>
    <row r="5" spans="2:9" ht="51" customHeight="1" thickBot="1" x14ac:dyDescent="0.25">
      <c r="B5" s="838"/>
      <c r="C5" s="840"/>
      <c r="D5" s="842"/>
      <c r="E5" s="834"/>
      <c r="F5" s="224" t="s">
        <v>169</v>
      </c>
      <c r="G5" s="225" t="s">
        <v>167</v>
      </c>
      <c r="H5" s="225" t="s">
        <v>170</v>
      </c>
    </row>
    <row r="6" spans="2:9" ht="13.5" thickBot="1" x14ac:dyDescent="0.25">
      <c r="B6" s="223" t="s">
        <v>0</v>
      </c>
      <c r="C6" s="172">
        <f>C7+C18+C28+C30+C32+C34+C36+C38</f>
        <v>6144903</v>
      </c>
      <c r="D6" s="326">
        <f>D7+D18+D28+D30+D32+D34+D36+D38</f>
        <v>4760655.33</v>
      </c>
      <c r="E6" s="172">
        <f>E7+E18+E28+E30+E32+E34+E36+E38</f>
        <v>4817717</v>
      </c>
      <c r="F6" s="221"/>
      <c r="G6" s="221"/>
      <c r="H6" s="222">
        <f>H7+H18+H28+H30+H32+H34+H36+H38</f>
        <v>5832616.3086970057</v>
      </c>
    </row>
    <row r="7" spans="2:9" ht="15" customHeight="1" x14ac:dyDescent="0.2">
      <c r="B7" s="16" t="s">
        <v>2</v>
      </c>
      <c r="C7" s="17">
        <f>SUM(C8:C17)</f>
        <v>102957</v>
      </c>
      <c r="D7" s="327">
        <f>SUM(D8:D17)</f>
        <v>87641</v>
      </c>
      <c r="E7" s="17">
        <f>SUM(E8:E17)</f>
        <v>171190</v>
      </c>
      <c r="F7" s="61"/>
      <c r="G7" s="61"/>
      <c r="H7" s="91">
        <f>SUM(H8:H17)</f>
        <v>125267</v>
      </c>
    </row>
    <row r="8" spans="2:9" ht="25.5" customHeight="1" x14ac:dyDescent="0.2">
      <c r="B8" s="3" t="s">
        <v>171</v>
      </c>
      <c r="C8" s="14">
        <v>59886</v>
      </c>
      <c r="D8" s="153">
        <v>40882</v>
      </c>
      <c r="E8" s="14">
        <v>122211</v>
      </c>
      <c r="F8" s="62"/>
      <c r="G8" s="63"/>
      <c r="H8" s="369">
        <f>ДОДАТОК_5!F46</f>
        <v>70028</v>
      </c>
      <c r="I8" s="437"/>
    </row>
    <row r="9" spans="2:9" ht="18" customHeight="1" x14ac:dyDescent="0.2">
      <c r="B9" s="39" t="s">
        <v>172</v>
      </c>
      <c r="C9" s="149">
        <f>102+13429</f>
        <v>13531</v>
      </c>
      <c r="D9" s="328">
        <v>15135</v>
      </c>
      <c r="E9" s="149">
        <v>15617</v>
      </c>
      <c r="F9" s="151"/>
      <c r="G9" s="152"/>
      <c r="H9" s="153">
        <v>19659</v>
      </c>
      <c r="I9" s="437"/>
    </row>
    <row r="10" spans="2:9" ht="22.5" customHeight="1" x14ac:dyDescent="0.2">
      <c r="B10" s="39" t="s">
        <v>173</v>
      </c>
      <c r="C10" s="149">
        <v>27474</v>
      </c>
      <c r="D10" s="328">
        <v>27933</v>
      </c>
      <c r="E10" s="149">
        <v>24432</v>
      </c>
      <c r="F10" s="421">
        <v>6952098</v>
      </c>
      <c r="G10" s="422">
        <f>H10*1000/F10</f>
        <v>3.750234821200737</v>
      </c>
      <c r="H10" s="153">
        <v>26072</v>
      </c>
      <c r="I10" s="438" t="s">
        <v>345</v>
      </c>
    </row>
    <row r="11" spans="2:9" ht="54" customHeight="1" x14ac:dyDescent="0.2">
      <c r="B11" s="39" t="s">
        <v>174</v>
      </c>
      <c r="C11" s="149">
        <v>0</v>
      </c>
      <c r="D11" s="328">
        <v>500</v>
      </c>
      <c r="E11" s="149">
        <v>13</v>
      </c>
      <c r="F11" s="151"/>
      <c r="G11" s="152"/>
      <c r="H11" s="153">
        <f>742-242</f>
        <v>500</v>
      </c>
      <c r="I11" s="439"/>
    </row>
    <row r="12" spans="2:9" ht="33" customHeight="1" x14ac:dyDescent="0.2">
      <c r="B12" s="39" t="s">
        <v>175</v>
      </c>
      <c r="C12" s="149">
        <v>883</v>
      </c>
      <c r="D12" s="328">
        <v>1352</v>
      </c>
      <c r="E12" s="149">
        <v>5421</v>
      </c>
      <c r="F12" s="151"/>
      <c r="G12" s="152"/>
      <c r="H12" s="153">
        <f>4172+1</f>
        <v>4173</v>
      </c>
      <c r="I12" s="439"/>
    </row>
    <row r="13" spans="2:9" ht="27" customHeight="1" x14ac:dyDescent="0.2">
      <c r="B13" s="39" t="s">
        <v>176</v>
      </c>
      <c r="C13" s="149">
        <v>26</v>
      </c>
      <c r="D13" s="328">
        <v>33</v>
      </c>
      <c r="E13" s="149">
        <v>688</v>
      </c>
      <c r="F13" s="151"/>
      <c r="G13" s="152"/>
      <c r="H13" s="153">
        <v>681</v>
      </c>
      <c r="I13" s="439"/>
    </row>
    <row r="14" spans="2:9" x14ac:dyDescent="0.2">
      <c r="B14" s="39" t="s">
        <v>177</v>
      </c>
      <c r="C14" s="14"/>
      <c r="D14" s="153"/>
      <c r="E14" s="14"/>
      <c r="F14" s="87"/>
      <c r="G14" s="98"/>
      <c r="H14" s="86"/>
      <c r="I14" s="439"/>
    </row>
    <row r="15" spans="2:9" x14ac:dyDescent="0.2">
      <c r="B15" s="39" t="s">
        <v>178</v>
      </c>
      <c r="C15" s="149">
        <v>45</v>
      </c>
      <c r="D15" s="328">
        <v>115</v>
      </c>
      <c r="E15" s="351">
        <v>261</v>
      </c>
      <c r="F15" s="151"/>
      <c r="G15" s="152"/>
      <c r="H15" s="153">
        <v>298</v>
      </c>
      <c r="I15" s="439"/>
    </row>
    <row r="16" spans="2:9" x14ac:dyDescent="0.2">
      <c r="B16" s="39" t="s">
        <v>179</v>
      </c>
      <c r="C16" s="149">
        <v>842</v>
      </c>
      <c r="D16" s="328">
        <v>1459</v>
      </c>
      <c r="E16" s="351">
        <v>1543</v>
      </c>
      <c r="F16" s="151"/>
      <c r="G16" s="152"/>
      <c r="H16" s="153">
        <f>1720-1</f>
        <v>1719</v>
      </c>
      <c r="I16" s="439"/>
    </row>
    <row r="17" spans="1:9" ht="13.5" thickBot="1" x14ac:dyDescent="0.25">
      <c r="B17" s="40" t="s">
        <v>180</v>
      </c>
      <c r="C17" s="154">
        <v>270</v>
      </c>
      <c r="D17" s="329">
        <v>232</v>
      </c>
      <c r="E17" s="154">
        <v>1004</v>
      </c>
      <c r="F17" s="155"/>
      <c r="G17" s="156"/>
      <c r="H17" s="157">
        <v>2137</v>
      </c>
      <c r="I17" s="439"/>
    </row>
    <row r="18" spans="1:9" x14ac:dyDescent="0.2">
      <c r="B18" s="16" t="s">
        <v>3</v>
      </c>
      <c r="C18" s="21">
        <f>SUM(C19:C27)</f>
        <v>110340</v>
      </c>
      <c r="D18" s="330">
        <f>SUM(D19:D27)</f>
        <v>125537.3</v>
      </c>
      <c r="E18" s="21">
        <f>SUM(E19:E27)</f>
        <v>169297</v>
      </c>
      <c r="F18" s="66"/>
      <c r="G18" s="66"/>
      <c r="H18" s="92">
        <f>SUM(H19:H27)</f>
        <v>217364</v>
      </c>
    </row>
    <row r="19" spans="1:9" ht="43.5" customHeight="1" x14ac:dyDescent="0.2">
      <c r="B19" s="41" t="s">
        <v>181</v>
      </c>
      <c r="C19" s="158">
        <f>12659+8011+126</f>
        <v>20796</v>
      </c>
      <c r="D19" s="331">
        <v>21271</v>
      </c>
      <c r="E19" s="158">
        <v>14922</v>
      </c>
      <c r="F19" s="151"/>
      <c r="G19" s="152"/>
      <c r="H19" s="159">
        <v>20682</v>
      </c>
    </row>
    <row r="20" spans="1:9" ht="23.25" customHeight="1" x14ac:dyDescent="0.2">
      <c r="B20" s="41" t="s">
        <v>314</v>
      </c>
      <c r="C20" s="160">
        <v>68862</v>
      </c>
      <c r="D20" s="332">
        <v>72441.3</v>
      </c>
      <c r="E20" s="160">
        <v>109437</v>
      </c>
      <c r="F20" s="67"/>
      <c r="G20" s="68"/>
      <c r="H20" s="370">
        <f>ДОДАТОК_5!G46</f>
        <v>138235</v>
      </c>
    </row>
    <row r="21" spans="1:9" ht="46.5" customHeight="1" x14ac:dyDescent="0.2">
      <c r="B21" s="41" t="s">
        <v>182</v>
      </c>
      <c r="C21" s="160">
        <v>14864</v>
      </c>
      <c r="D21" s="333">
        <v>23100</v>
      </c>
      <c r="E21" s="160">
        <v>34939</v>
      </c>
      <c r="F21" s="161"/>
      <c r="G21" s="162"/>
      <c r="H21" s="163">
        <v>44875</v>
      </c>
    </row>
    <row r="22" spans="1:9" ht="66" customHeight="1" x14ac:dyDescent="0.2">
      <c r="B22" s="41" t="s">
        <v>284</v>
      </c>
      <c r="C22" s="160">
        <v>4044</v>
      </c>
      <c r="D22" s="333">
        <v>6252</v>
      </c>
      <c r="E22" s="160">
        <v>7053</v>
      </c>
      <c r="F22" s="161"/>
      <c r="G22" s="162"/>
      <c r="H22" s="163">
        <v>9509</v>
      </c>
    </row>
    <row r="23" spans="1:9" ht="25.5" x14ac:dyDescent="0.2">
      <c r="B23" s="41" t="s">
        <v>183</v>
      </c>
      <c r="C23" s="22"/>
      <c r="D23" s="334"/>
      <c r="E23" s="22"/>
      <c r="F23" s="67"/>
      <c r="G23" s="68"/>
      <c r="H23" s="69"/>
    </row>
    <row r="24" spans="1:9" ht="25.5" x14ac:dyDescent="0.2">
      <c r="B24" s="41" t="s">
        <v>184</v>
      </c>
      <c r="C24" s="158">
        <v>1774</v>
      </c>
      <c r="D24" s="331">
        <v>2473</v>
      </c>
      <c r="E24" s="158">
        <v>2946</v>
      </c>
      <c r="F24" s="151"/>
      <c r="G24" s="152"/>
      <c r="H24" s="159">
        <v>4063</v>
      </c>
      <c r="I24" s="440"/>
    </row>
    <row r="25" spans="1:9" x14ac:dyDescent="0.2">
      <c r="B25" s="41" t="s">
        <v>185</v>
      </c>
      <c r="C25" s="22"/>
      <c r="D25" s="334"/>
      <c r="E25" s="22"/>
      <c r="F25" s="67"/>
      <c r="G25" s="68"/>
      <c r="H25" s="69"/>
    </row>
    <row r="26" spans="1:9" ht="17.25" customHeight="1" x14ac:dyDescent="0.2">
      <c r="A26" s="46"/>
      <c r="B26" s="43" t="s">
        <v>195</v>
      </c>
      <c r="C26" s="44">
        <v>0</v>
      </c>
      <c r="D26" s="335">
        <v>0</v>
      </c>
      <c r="E26" s="44">
        <v>0</v>
      </c>
      <c r="F26" s="70"/>
      <c r="G26" s="71"/>
      <c r="H26" s="100">
        <v>0</v>
      </c>
      <c r="I26" s="439"/>
    </row>
    <row r="27" spans="1:9" ht="27.75" customHeight="1" thickBot="1" x14ac:dyDescent="0.25">
      <c r="B27" s="42" t="s">
        <v>186</v>
      </c>
      <c r="C27" s="23">
        <v>0</v>
      </c>
      <c r="D27" s="336"/>
      <c r="E27" s="23"/>
      <c r="F27" s="72"/>
      <c r="G27" s="73"/>
      <c r="H27" s="99"/>
    </row>
    <row r="28" spans="1:9" x14ac:dyDescent="0.2">
      <c r="B28" s="18" t="s">
        <v>4</v>
      </c>
      <c r="C28" s="17">
        <f>C29</f>
        <v>5114849</v>
      </c>
      <c r="D28" s="337">
        <f>D29</f>
        <v>3756235.5</v>
      </c>
      <c r="E28" s="17">
        <f>E29</f>
        <v>3549836</v>
      </c>
      <c r="F28" s="74"/>
      <c r="G28" s="74"/>
      <c r="H28" s="88">
        <f>H29</f>
        <v>4307101.3086970057</v>
      </c>
    </row>
    <row r="29" spans="1:9" ht="63" customHeight="1" thickBot="1" x14ac:dyDescent="0.25">
      <c r="B29" s="4" t="s">
        <v>187</v>
      </c>
      <c r="C29" s="164">
        <v>5114849</v>
      </c>
      <c r="D29" s="338">
        <v>3756235.5</v>
      </c>
      <c r="E29" s="164">
        <v>3549836</v>
      </c>
      <c r="F29" s="199">
        <f>ДОДАТОК2!C67</f>
        <v>1687.0429999999999</v>
      </c>
      <c r="G29" s="200">
        <f>H29/F29</f>
        <v>2553.047734229066</v>
      </c>
      <c r="H29" s="201">
        <f>+ДОДАТОК_3!D47+ДОДАТОК_3!D84+ДОДАТОК_3!D85+ДОДАТОК_3!D86+ДОДАТОК_3!D80+ДОДАТОК_3!D81+ДОДАТОК_3!D82+ДОДАТОК_3!D83</f>
        <v>4307101.3086970057</v>
      </c>
    </row>
    <row r="30" spans="1:9" x14ac:dyDescent="0.2">
      <c r="B30" s="16" t="s">
        <v>62</v>
      </c>
      <c r="C30" s="17">
        <f>C31</f>
        <v>5259</v>
      </c>
      <c r="D30" s="337">
        <f>D31</f>
        <v>5706.3</v>
      </c>
      <c r="E30" s="17">
        <f>E31</f>
        <v>4800</v>
      </c>
      <c r="F30" s="74"/>
      <c r="G30" s="74"/>
      <c r="H30" s="88">
        <f>H31</f>
        <v>5406</v>
      </c>
      <c r="I30" s="439"/>
    </row>
    <row r="31" spans="1:9" ht="26.25" thickBot="1" x14ac:dyDescent="0.25">
      <c r="B31" s="4" t="s">
        <v>315</v>
      </c>
      <c r="C31" s="154">
        <v>5259</v>
      </c>
      <c r="D31" s="329">
        <v>5706.3</v>
      </c>
      <c r="E31" s="154">
        <v>4800</v>
      </c>
      <c r="F31" s="155">
        <v>1820400</v>
      </c>
      <c r="G31" s="165">
        <f>H31/F31*1000</f>
        <v>2.9696769940672381</v>
      </c>
      <c r="H31" s="157">
        <v>5406</v>
      </c>
      <c r="I31" s="438" t="s">
        <v>346</v>
      </c>
    </row>
    <row r="32" spans="1:9" ht="18.75" customHeight="1" x14ac:dyDescent="0.2">
      <c r="B32" s="19" t="s">
        <v>5</v>
      </c>
      <c r="C32" s="17">
        <f>C33</f>
        <v>328880</v>
      </c>
      <c r="D32" s="337">
        <f>D33</f>
        <v>298646.5</v>
      </c>
      <c r="E32" s="17">
        <f>E33</f>
        <v>399402</v>
      </c>
      <c r="F32" s="74"/>
      <c r="G32" s="74"/>
      <c r="H32" s="88">
        <f>H33</f>
        <v>496656</v>
      </c>
      <c r="I32" s="439"/>
    </row>
    <row r="33" spans="1:9" ht="28.5" customHeight="1" thickBot="1" x14ac:dyDescent="0.25">
      <c r="B33" s="4" t="s">
        <v>188</v>
      </c>
      <c r="C33" s="154">
        <v>328880</v>
      </c>
      <c r="D33" s="329">
        <v>298646.5</v>
      </c>
      <c r="E33" s="154">
        <v>399402</v>
      </c>
      <c r="F33" s="155"/>
      <c r="G33" s="156"/>
      <c r="H33" s="157">
        <v>496656</v>
      </c>
      <c r="I33" s="439"/>
    </row>
    <row r="34" spans="1:9" ht="14.25" customHeight="1" x14ac:dyDescent="0.2">
      <c r="B34" s="19" t="s">
        <v>6</v>
      </c>
      <c r="C34" s="17">
        <f>C35</f>
        <v>77547</v>
      </c>
      <c r="D34" s="337">
        <f>D35</f>
        <v>65702.23</v>
      </c>
      <c r="E34" s="17">
        <f>E35</f>
        <v>101195</v>
      </c>
      <c r="F34" s="74"/>
      <c r="G34" s="74"/>
      <c r="H34" s="88">
        <f>H35</f>
        <v>121624</v>
      </c>
      <c r="I34" s="439"/>
    </row>
    <row r="35" spans="1:9" ht="26.25" thickBot="1" x14ac:dyDescent="0.25">
      <c r="A35" s="46"/>
      <c r="B35" s="4" t="s">
        <v>189</v>
      </c>
      <c r="C35" s="154">
        <v>77547</v>
      </c>
      <c r="D35" s="157">
        <f>+ROUND(D33*0.22,3)</f>
        <v>65702.23</v>
      </c>
      <c r="E35" s="154">
        <v>101195</v>
      </c>
      <c r="F35" s="64"/>
      <c r="G35" s="65"/>
      <c r="H35" s="420">
        <f>109264+12360</f>
        <v>121624</v>
      </c>
      <c r="I35" s="439"/>
    </row>
    <row r="36" spans="1:9" x14ac:dyDescent="0.2">
      <c r="A36" s="46"/>
      <c r="B36" s="19" t="s">
        <v>7</v>
      </c>
      <c r="C36" s="17">
        <f>C37</f>
        <v>96286</v>
      </c>
      <c r="D36" s="337">
        <f>D37</f>
        <v>59203</v>
      </c>
      <c r="E36" s="17">
        <f>E37</f>
        <v>79860</v>
      </c>
      <c r="F36" s="74"/>
      <c r="G36" s="74"/>
      <c r="H36" s="88">
        <f>H37</f>
        <v>56337</v>
      </c>
      <c r="I36" s="439"/>
    </row>
    <row r="37" spans="1:9" ht="13.5" thickBot="1" x14ac:dyDescent="0.25">
      <c r="A37" s="46"/>
      <c r="B37" s="4" t="s">
        <v>190</v>
      </c>
      <c r="C37" s="154">
        <v>96286</v>
      </c>
      <c r="D37" s="329">
        <v>59203</v>
      </c>
      <c r="E37" s="154">
        <v>79860</v>
      </c>
      <c r="F37" s="155"/>
      <c r="G37" s="156"/>
      <c r="H37" s="157">
        <v>56337</v>
      </c>
      <c r="I37" s="441"/>
    </row>
    <row r="38" spans="1:9" ht="15" customHeight="1" x14ac:dyDescent="0.2">
      <c r="A38" s="46"/>
      <c r="B38" s="16" t="s">
        <v>8</v>
      </c>
      <c r="C38" s="198">
        <f t="shared" ref="C38:H38" si="0">C39+SUM(C48:C67)</f>
        <v>308785</v>
      </c>
      <c r="D38" s="337">
        <f t="shared" ref="D38" si="1">D39+SUM(D48:D67)</f>
        <v>361983.5</v>
      </c>
      <c r="E38" s="17">
        <f t="shared" ref="E38" si="2">E39+SUM(E48:E67)</f>
        <v>342137</v>
      </c>
      <c r="F38" s="85"/>
      <c r="G38" s="85"/>
      <c r="H38" s="88">
        <f t="shared" si="0"/>
        <v>502861</v>
      </c>
      <c r="I38" s="439"/>
    </row>
    <row r="39" spans="1:9" ht="40.5" customHeight="1" x14ac:dyDescent="0.2">
      <c r="A39" s="46"/>
      <c r="B39" s="3" t="s">
        <v>198</v>
      </c>
      <c r="C39" s="754">
        <f>SUM(C40:C47)</f>
        <v>252787</v>
      </c>
      <c r="D39" s="339">
        <v>322064.7</v>
      </c>
      <c r="E39" s="150">
        <f>SUM(E40:E47)</f>
        <v>239352</v>
      </c>
      <c r="F39" s="62"/>
      <c r="G39" s="63"/>
      <c r="H39" s="150">
        <f t="shared" ref="H39" si="3">SUM(H40:H47)</f>
        <v>335741</v>
      </c>
    </row>
    <row r="40" spans="1:9" x14ac:dyDescent="0.2">
      <c r="B40" s="6" t="s">
        <v>191</v>
      </c>
      <c r="C40" s="753">
        <v>0</v>
      </c>
      <c r="D40" s="328">
        <v>0</v>
      </c>
      <c r="E40" s="149">
        <v>2530</v>
      </c>
      <c r="F40" s="151"/>
      <c r="G40" s="152"/>
      <c r="H40" s="153">
        <v>3564</v>
      </c>
    </row>
    <row r="41" spans="1:9" ht="15" customHeight="1" x14ac:dyDescent="0.2">
      <c r="B41" s="6" t="s">
        <v>192</v>
      </c>
      <c r="C41" s="755"/>
      <c r="D41" s="153"/>
      <c r="E41" s="14"/>
      <c r="F41" s="62"/>
      <c r="G41" s="63"/>
      <c r="H41" s="86"/>
    </row>
    <row r="42" spans="1:9" x14ac:dyDescent="0.2">
      <c r="B42" s="6" t="s">
        <v>193</v>
      </c>
      <c r="C42" s="753">
        <v>230845</v>
      </c>
      <c r="D42" s="328">
        <v>300071.7</v>
      </c>
      <c r="E42" s="149">
        <v>215752</v>
      </c>
      <c r="F42" s="151"/>
      <c r="G42" s="152"/>
      <c r="H42" s="153">
        <v>309289</v>
      </c>
    </row>
    <row r="43" spans="1:9" x14ac:dyDescent="0.2">
      <c r="B43" s="6" t="s">
        <v>194</v>
      </c>
      <c r="C43" s="755"/>
      <c r="D43" s="153"/>
      <c r="E43" s="14"/>
      <c r="F43" s="62"/>
      <c r="G43" s="63"/>
      <c r="H43" s="86"/>
    </row>
    <row r="44" spans="1:9" x14ac:dyDescent="0.2">
      <c r="B44" s="6" t="s">
        <v>195</v>
      </c>
      <c r="C44" s="753">
        <v>21942</v>
      </c>
      <c r="D44" s="328">
        <v>21993</v>
      </c>
      <c r="E44" s="149">
        <v>20847</v>
      </c>
      <c r="F44" s="151"/>
      <c r="G44" s="166"/>
      <c r="H44" s="153">
        <v>22510</v>
      </c>
      <c r="I44" s="438"/>
    </row>
    <row r="45" spans="1:9" ht="15" customHeight="1" x14ac:dyDescent="0.2">
      <c r="B45" s="6" t="s">
        <v>196</v>
      </c>
      <c r="C45" s="755"/>
      <c r="D45" s="153"/>
      <c r="E45" s="14"/>
      <c r="F45" s="62"/>
      <c r="G45" s="63"/>
      <c r="H45" s="86"/>
    </row>
    <row r="46" spans="1:9" x14ac:dyDescent="0.2">
      <c r="B46" s="6" t="s">
        <v>197</v>
      </c>
      <c r="C46" s="755"/>
      <c r="D46" s="153"/>
      <c r="E46" s="14"/>
      <c r="F46" s="62"/>
      <c r="G46" s="63"/>
      <c r="H46" s="86"/>
    </row>
    <row r="47" spans="1:9" x14ac:dyDescent="0.2">
      <c r="B47" s="45" t="s">
        <v>333</v>
      </c>
      <c r="C47" s="755">
        <v>0</v>
      </c>
      <c r="D47" s="150">
        <v>0</v>
      </c>
      <c r="E47" s="14">
        <v>223</v>
      </c>
      <c r="F47" s="62"/>
      <c r="G47" s="63"/>
      <c r="H47" s="84">
        <v>378</v>
      </c>
      <c r="I47" s="439"/>
    </row>
    <row r="48" spans="1:9" ht="21.75" customHeight="1" x14ac:dyDescent="0.2">
      <c r="B48" s="3" t="s">
        <v>199</v>
      </c>
      <c r="C48" s="753">
        <f>24251+320</f>
        <v>24571</v>
      </c>
      <c r="D48" s="328">
        <v>25013</v>
      </c>
      <c r="E48" s="149">
        <v>30728</v>
      </c>
      <c r="F48" s="151"/>
      <c r="G48" s="152"/>
      <c r="H48" s="153">
        <v>37421</v>
      </c>
      <c r="I48" s="438"/>
    </row>
    <row r="49" spans="2:23" ht="40.5" customHeight="1" x14ac:dyDescent="0.2">
      <c r="B49" s="3" t="s">
        <v>200</v>
      </c>
      <c r="C49" s="755">
        <v>33</v>
      </c>
      <c r="D49" s="153">
        <v>21.8</v>
      </c>
      <c r="E49" s="14">
        <v>34</v>
      </c>
      <c r="F49" s="62"/>
      <c r="G49" s="63"/>
      <c r="H49" s="86">
        <v>32</v>
      </c>
      <c r="I49" s="439"/>
    </row>
    <row r="50" spans="2:23" ht="39.75" customHeight="1" x14ac:dyDescent="0.2">
      <c r="B50" s="3" t="s">
        <v>201</v>
      </c>
      <c r="C50" s="753">
        <v>342</v>
      </c>
      <c r="D50" s="328">
        <v>752</v>
      </c>
      <c r="E50" s="149">
        <v>360</v>
      </c>
      <c r="F50" s="151"/>
      <c r="G50" s="152"/>
      <c r="H50" s="153">
        <v>1035</v>
      </c>
      <c r="I50" s="439"/>
    </row>
    <row r="51" spans="2:23" ht="15.75" customHeight="1" x14ac:dyDescent="0.2">
      <c r="B51" s="3" t="s">
        <v>233</v>
      </c>
      <c r="C51" s="753">
        <v>405</v>
      </c>
      <c r="D51" s="328">
        <v>562</v>
      </c>
      <c r="E51" s="149">
        <v>414</v>
      </c>
      <c r="F51" s="151"/>
      <c r="G51" s="152"/>
      <c r="H51" s="153">
        <v>446</v>
      </c>
      <c r="I51" s="439"/>
    </row>
    <row r="52" spans="2:23" ht="15.75" customHeight="1" x14ac:dyDescent="0.2">
      <c r="B52" s="3" t="s">
        <v>202</v>
      </c>
      <c r="C52" s="755"/>
      <c r="D52" s="153"/>
      <c r="E52" s="14"/>
      <c r="F52" s="62"/>
      <c r="G52" s="63"/>
      <c r="H52" s="86"/>
      <c r="I52" s="439"/>
    </row>
    <row r="53" spans="2:23" ht="26.25" customHeight="1" x14ac:dyDescent="0.2">
      <c r="B53" s="3" t="s">
        <v>287</v>
      </c>
      <c r="C53" s="753">
        <v>4326</v>
      </c>
      <c r="D53" s="328">
        <v>4130</v>
      </c>
      <c r="E53" s="149">
        <v>4464</v>
      </c>
      <c r="F53" s="151"/>
      <c r="G53" s="152"/>
      <c r="H53" s="153">
        <v>4664</v>
      </c>
      <c r="I53" s="439"/>
    </row>
    <row r="54" spans="2:23" ht="43.5" customHeight="1" x14ac:dyDescent="0.2">
      <c r="B54" s="3" t="s">
        <v>205</v>
      </c>
      <c r="C54" s="755"/>
      <c r="D54" s="153"/>
      <c r="E54" s="14"/>
      <c r="F54" s="62"/>
      <c r="G54" s="63"/>
      <c r="H54" s="86"/>
      <c r="I54" s="439"/>
    </row>
    <row r="55" spans="2:23" ht="40.5" customHeight="1" x14ac:dyDescent="0.2">
      <c r="B55" s="3" t="s">
        <v>204</v>
      </c>
      <c r="C55" s="753">
        <v>422</v>
      </c>
      <c r="D55" s="328">
        <v>312</v>
      </c>
      <c r="E55" s="149">
        <v>621</v>
      </c>
      <c r="F55" s="151"/>
      <c r="G55" s="152"/>
      <c r="H55" s="153">
        <v>560</v>
      </c>
    </row>
    <row r="56" spans="2:23" ht="64.5" customHeight="1" x14ac:dyDescent="0.2">
      <c r="B56" s="3" t="s">
        <v>203</v>
      </c>
      <c r="C56" s="755"/>
      <c r="D56" s="153"/>
      <c r="E56" s="14"/>
      <c r="F56" s="62"/>
      <c r="G56" s="63"/>
      <c r="H56" s="86"/>
    </row>
    <row r="57" spans="2:23" ht="16.5" customHeight="1" x14ac:dyDescent="0.2">
      <c r="B57" s="3" t="s">
        <v>206</v>
      </c>
      <c r="C57" s="753">
        <v>216</v>
      </c>
      <c r="D57" s="328">
        <v>295</v>
      </c>
      <c r="E57" s="149">
        <v>348</v>
      </c>
      <c r="F57" s="151"/>
      <c r="G57" s="152"/>
      <c r="H57" s="153">
        <v>165</v>
      </c>
      <c r="I57" s="438"/>
    </row>
    <row r="58" spans="2:23" ht="16.5" customHeight="1" x14ac:dyDescent="0.2">
      <c r="B58" s="3" t="s">
        <v>324</v>
      </c>
      <c r="C58" s="755"/>
      <c r="D58" s="153"/>
      <c r="E58" s="14"/>
      <c r="F58" s="62"/>
      <c r="G58" s="63"/>
      <c r="H58" s="86"/>
    </row>
    <row r="59" spans="2:23" ht="51.75" customHeight="1" x14ac:dyDescent="0.2">
      <c r="B59" s="3" t="s">
        <v>207</v>
      </c>
      <c r="C59" s="753">
        <v>2</v>
      </c>
      <c r="D59" s="328">
        <v>3</v>
      </c>
      <c r="E59" s="149">
        <v>0</v>
      </c>
      <c r="F59" s="151"/>
      <c r="G59" s="152"/>
      <c r="H59" s="769">
        <v>2</v>
      </c>
    </row>
    <row r="60" spans="2:23" s="206" customFormat="1" ht="51.75" customHeight="1" x14ac:dyDescent="0.2">
      <c r="B60" s="202" t="s">
        <v>347</v>
      </c>
      <c r="C60" s="753">
        <v>108</v>
      </c>
      <c r="D60" s="328">
        <v>142.80000000000001</v>
      </c>
      <c r="E60" s="203">
        <v>48</v>
      </c>
      <c r="F60" s="204"/>
      <c r="G60" s="205"/>
      <c r="H60" s="770">
        <f>243-170</f>
        <v>73</v>
      </c>
      <c r="I60" s="442"/>
      <c r="J60" s="442"/>
      <c r="K60" s="442"/>
      <c r="L60" s="442"/>
      <c r="M60" s="442"/>
      <c r="N60" s="442"/>
      <c r="O60" s="442"/>
      <c r="P60" s="442"/>
      <c r="Q60" s="442"/>
      <c r="R60" s="442"/>
      <c r="S60" s="442"/>
      <c r="T60" s="442"/>
      <c r="U60" s="442"/>
      <c r="V60" s="442"/>
      <c r="W60" s="442"/>
    </row>
    <row r="61" spans="2:23" s="206" customFormat="1" ht="51.75" customHeight="1" x14ac:dyDescent="0.2">
      <c r="B61" s="202" t="s">
        <v>348</v>
      </c>
      <c r="C61" s="753">
        <f>13+180</f>
        <v>193</v>
      </c>
      <c r="D61" s="328">
        <v>168.2</v>
      </c>
      <c r="E61" s="203">
        <f>18+186</f>
        <v>204</v>
      </c>
      <c r="F61" s="204"/>
      <c r="G61" s="205"/>
      <c r="H61" s="770">
        <f>21+170</f>
        <v>191</v>
      </c>
      <c r="I61" s="442"/>
      <c r="J61" s="442"/>
      <c r="K61" s="442"/>
      <c r="L61" s="442"/>
      <c r="M61" s="442"/>
      <c r="N61" s="442"/>
      <c r="O61" s="442"/>
      <c r="P61" s="442"/>
      <c r="Q61" s="442"/>
      <c r="R61" s="442"/>
      <c r="S61" s="442"/>
      <c r="T61" s="442"/>
      <c r="U61" s="442"/>
      <c r="V61" s="442"/>
      <c r="W61" s="442"/>
    </row>
    <row r="62" spans="2:23" x14ac:dyDescent="0.2">
      <c r="B62" s="3" t="s">
        <v>208</v>
      </c>
      <c r="C62" s="755">
        <v>426</v>
      </c>
      <c r="D62" s="153">
        <v>286</v>
      </c>
      <c r="E62" s="14">
        <v>600</v>
      </c>
      <c r="F62" s="62"/>
      <c r="G62" s="63"/>
      <c r="H62" s="86">
        <v>478</v>
      </c>
    </row>
    <row r="63" spans="2:23" ht="15" customHeight="1" x14ac:dyDescent="0.2">
      <c r="B63" s="3" t="s">
        <v>209</v>
      </c>
      <c r="C63" s="753">
        <v>722</v>
      </c>
      <c r="D63" s="328">
        <v>606</v>
      </c>
      <c r="E63" s="149">
        <v>665</v>
      </c>
      <c r="F63" s="151"/>
      <c r="G63" s="152"/>
      <c r="H63" s="153">
        <v>675</v>
      </c>
      <c r="I63" s="438"/>
    </row>
    <row r="64" spans="2:23" ht="18.75" customHeight="1" x14ac:dyDescent="0.2">
      <c r="B64" s="3" t="s">
        <v>210</v>
      </c>
      <c r="C64" s="755"/>
      <c r="D64" s="153"/>
      <c r="E64" s="14"/>
      <c r="F64" s="62"/>
      <c r="G64" s="63"/>
      <c r="H64" s="86"/>
    </row>
    <row r="65" spans="1:9" x14ac:dyDescent="0.2">
      <c r="B65" s="3" t="s">
        <v>211</v>
      </c>
      <c r="C65" s="756">
        <v>4878</v>
      </c>
      <c r="D65" s="340">
        <v>4546</v>
      </c>
      <c r="E65" s="167">
        <v>5824</v>
      </c>
      <c r="F65" s="168"/>
      <c r="G65" s="169"/>
      <c r="H65" s="170">
        <f>7292-4</f>
        <v>7288</v>
      </c>
    </row>
    <row r="66" spans="1:9" x14ac:dyDescent="0.2">
      <c r="B66" s="38" t="s">
        <v>285</v>
      </c>
      <c r="C66" s="756">
        <v>2223</v>
      </c>
      <c r="D66" s="340">
        <v>2315</v>
      </c>
      <c r="E66" s="167">
        <v>2400</v>
      </c>
      <c r="F66" s="168">
        <f>H66*1000/G66</f>
        <v>111653.81319622965</v>
      </c>
      <c r="G66" s="171">
        <f>11.67*2</f>
        <v>23.34</v>
      </c>
      <c r="H66" s="170">
        <v>2606</v>
      </c>
      <c r="I66" s="438" t="s">
        <v>349</v>
      </c>
    </row>
    <row r="67" spans="1:9" ht="13.5" thickBot="1" x14ac:dyDescent="0.25">
      <c r="B67" s="4" t="s">
        <v>212</v>
      </c>
      <c r="C67" s="757">
        <v>17131</v>
      </c>
      <c r="D67" s="329">
        <v>766</v>
      </c>
      <c r="E67" s="154">
        <v>56075</v>
      </c>
      <c r="F67" s="155"/>
      <c r="G67" s="156"/>
      <c r="H67" s="157">
        <v>111484</v>
      </c>
    </row>
    <row r="68" spans="1:9" ht="15" customHeight="1" thickBot="1" x14ac:dyDescent="0.25">
      <c r="B68" s="15" t="s">
        <v>9</v>
      </c>
      <c r="C68" s="20">
        <f t="shared" ref="C68:H68" si="4">C69+C75+C77+C79+C81</f>
        <v>41867</v>
      </c>
      <c r="D68" s="341">
        <f t="shared" si="4"/>
        <v>34857.4</v>
      </c>
      <c r="E68" s="20">
        <f t="shared" ref="E68" si="5">E69+E75+E77+E79+E81</f>
        <v>50851</v>
      </c>
      <c r="F68" s="20">
        <f t="shared" si="4"/>
        <v>0</v>
      </c>
      <c r="G68" s="20">
        <f t="shared" si="4"/>
        <v>0</v>
      </c>
      <c r="H68" s="20">
        <f t="shared" si="4"/>
        <v>47057</v>
      </c>
    </row>
    <row r="69" spans="1:9" x14ac:dyDescent="0.2">
      <c r="B69" s="16" t="s">
        <v>10</v>
      </c>
      <c r="C69" s="17">
        <f>SUM(C70:C74)</f>
        <v>3718</v>
      </c>
      <c r="D69" s="337">
        <v>3205.5</v>
      </c>
      <c r="E69" s="17">
        <f>SUM(E70:E74)</f>
        <v>4209</v>
      </c>
      <c r="F69" s="85"/>
      <c r="G69" s="85"/>
      <c r="H69" s="88">
        <f>SUM(H70:H74)</f>
        <v>5373</v>
      </c>
    </row>
    <row r="70" spans="1:9" ht="25.5" x14ac:dyDescent="0.2">
      <c r="B70" s="3" t="s">
        <v>213</v>
      </c>
      <c r="C70" s="149">
        <v>0</v>
      </c>
      <c r="D70" s="328">
        <v>0</v>
      </c>
      <c r="E70" s="149">
        <v>0</v>
      </c>
      <c r="F70" s="151"/>
      <c r="G70" s="152"/>
      <c r="H70" s="153">
        <v>0</v>
      </c>
    </row>
    <row r="71" spans="1:9" x14ac:dyDescent="0.2">
      <c r="B71" s="3" t="s">
        <v>283</v>
      </c>
      <c r="C71" s="149">
        <v>0</v>
      </c>
      <c r="D71" s="328">
        <v>0</v>
      </c>
      <c r="E71" s="149">
        <v>0</v>
      </c>
      <c r="F71" s="151"/>
      <c r="G71" s="152"/>
      <c r="H71" s="153">
        <v>0</v>
      </c>
    </row>
    <row r="72" spans="1:9" ht="39.75" customHeight="1" x14ac:dyDescent="0.2">
      <c r="B72" s="3" t="s">
        <v>278</v>
      </c>
      <c r="C72" s="149">
        <v>3501</v>
      </c>
      <c r="D72" s="328">
        <v>3009.5</v>
      </c>
      <c r="E72" s="149">
        <v>3846</v>
      </c>
      <c r="F72" s="151"/>
      <c r="G72" s="152"/>
      <c r="H72" s="153">
        <v>4954</v>
      </c>
    </row>
    <row r="73" spans="1:9" x14ac:dyDescent="0.2">
      <c r="B73" s="3" t="s">
        <v>168</v>
      </c>
      <c r="C73" s="149">
        <v>173</v>
      </c>
      <c r="D73" s="328">
        <v>145</v>
      </c>
      <c r="E73" s="149">
        <v>300</v>
      </c>
      <c r="F73" s="151"/>
      <c r="G73" s="152"/>
      <c r="H73" s="153">
        <v>350</v>
      </c>
      <c r="I73" s="438"/>
    </row>
    <row r="74" spans="1:9" ht="27" customHeight="1" thickBot="1" x14ac:dyDescent="0.25">
      <c r="B74" s="4" t="s">
        <v>214</v>
      </c>
      <c r="C74" s="154">
        <v>44</v>
      </c>
      <c r="D74" s="329">
        <v>51</v>
      </c>
      <c r="E74" s="154">
        <v>63</v>
      </c>
      <c r="F74" s="155"/>
      <c r="G74" s="156"/>
      <c r="H74" s="157">
        <v>69</v>
      </c>
      <c r="I74" s="438"/>
    </row>
    <row r="75" spans="1:9" x14ac:dyDescent="0.2">
      <c r="B75" s="5" t="s">
        <v>5</v>
      </c>
      <c r="C75" s="17">
        <f>C76</f>
        <v>28697</v>
      </c>
      <c r="D75" s="337">
        <f>D76</f>
        <v>18837.7</v>
      </c>
      <c r="E75" s="17">
        <f>E76</f>
        <v>35301</v>
      </c>
      <c r="F75" s="74"/>
      <c r="G75" s="74"/>
      <c r="H75" s="88">
        <f>H76</f>
        <v>30368</v>
      </c>
      <c r="I75" s="439"/>
    </row>
    <row r="76" spans="1:9" ht="13.5" thickBot="1" x14ac:dyDescent="0.25">
      <c r="B76" s="4" t="s">
        <v>215</v>
      </c>
      <c r="C76" s="173">
        <v>28697</v>
      </c>
      <c r="D76" s="342">
        <v>18837.7</v>
      </c>
      <c r="E76" s="173">
        <v>35301</v>
      </c>
      <c r="F76" s="155"/>
      <c r="G76" s="156"/>
      <c r="H76" s="174">
        <v>30368</v>
      </c>
      <c r="I76" s="439"/>
    </row>
    <row r="77" spans="1:9" x14ac:dyDescent="0.2">
      <c r="B77" s="1" t="s">
        <v>11</v>
      </c>
      <c r="C77" s="17">
        <f>C78</f>
        <v>5991</v>
      </c>
      <c r="D77" s="337">
        <f>D78</f>
        <v>4144.3</v>
      </c>
      <c r="E77" s="17">
        <f>E78</f>
        <v>7767</v>
      </c>
      <c r="F77" s="74"/>
      <c r="G77" s="74"/>
      <c r="H77" s="88">
        <f>H78</f>
        <v>6681</v>
      </c>
      <c r="I77" s="439"/>
    </row>
    <row r="78" spans="1:9" ht="13.5" thickBot="1" x14ac:dyDescent="0.25">
      <c r="A78" s="46"/>
      <c r="B78" s="7" t="s">
        <v>216</v>
      </c>
      <c r="C78" s="25">
        <v>5991</v>
      </c>
      <c r="D78" s="174">
        <f>+ROUND(D76*0.22,1)</f>
        <v>4144.3</v>
      </c>
      <c r="E78" s="25">
        <v>7767</v>
      </c>
      <c r="F78" s="64"/>
      <c r="G78" s="65"/>
      <c r="H78" s="101">
        <v>6681</v>
      </c>
      <c r="I78" s="439"/>
    </row>
    <row r="79" spans="1:9" x14ac:dyDescent="0.2">
      <c r="B79" s="5" t="s">
        <v>7</v>
      </c>
      <c r="C79" s="17">
        <f>C80</f>
        <v>814</v>
      </c>
      <c r="D79" s="337">
        <f>D80</f>
        <v>229</v>
      </c>
      <c r="E79" s="17">
        <f>E80</f>
        <v>511</v>
      </c>
      <c r="F79" s="74"/>
      <c r="G79" s="74"/>
      <c r="H79" s="88">
        <f>H80</f>
        <v>184</v>
      </c>
      <c r="I79" s="439"/>
    </row>
    <row r="80" spans="1:9" ht="13.5" thickBot="1" x14ac:dyDescent="0.25">
      <c r="B80" s="7" t="s">
        <v>217</v>
      </c>
      <c r="C80" s="24">
        <v>814</v>
      </c>
      <c r="D80" s="174">
        <v>229</v>
      </c>
      <c r="E80" s="24">
        <v>511</v>
      </c>
      <c r="F80" s="64"/>
      <c r="G80" s="65"/>
      <c r="H80" s="101">
        <v>184</v>
      </c>
      <c r="I80" s="439"/>
    </row>
    <row r="81" spans="2:9" x14ac:dyDescent="0.2">
      <c r="B81" s="1" t="s">
        <v>12</v>
      </c>
      <c r="C81" s="17">
        <f>SUM(C82:C94)</f>
        <v>2647</v>
      </c>
      <c r="D81" s="337">
        <f>SUM(D82:D94)</f>
        <v>8440.9000000000015</v>
      </c>
      <c r="E81" s="17">
        <f>SUM(E82:E94)</f>
        <v>3063</v>
      </c>
      <c r="F81" s="74"/>
      <c r="G81" s="74"/>
      <c r="H81" s="88">
        <f>SUM(H82:H94)</f>
        <v>4451</v>
      </c>
    </row>
    <row r="82" spans="2:9" x14ac:dyDescent="0.2">
      <c r="B82" s="8" t="s">
        <v>334</v>
      </c>
      <c r="C82" s="47">
        <v>0</v>
      </c>
      <c r="D82" s="758">
        <v>5432.3</v>
      </c>
      <c r="E82" s="47">
        <v>0</v>
      </c>
      <c r="F82" s="77"/>
      <c r="G82" s="77"/>
      <c r="H82" s="108"/>
    </row>
    <row r="83" spans="2:9" x14ac:dyDescent="0.2">
      <c r="B83" s="8" t="s">
        <v>335</v>
      </c>
      <c r="C83" s="47">
        <v>0</v>
      </c>
      <c r="D83" s="343"/>
      <c r="E83" s="47">
        <v>0</v>
      </c>
      <c r="F83" s="77"/>
      <c r="G83" s="77"/>
      <c r="H83" s="108"/>
    </row>
    <row r="84" spans="2:9" x14ac:dyDescent="0.2">
      <c r="B84" s="8" t="s">
        <v>218</v>
      </c>
      <c r="C84" s="175">
        <v>26</v>
      </c>
      <c r="D84" s="344">
        <v>168</v>
      </c>
      <c r="E84" s="175">
        <v>50</v>
      </c>
      <c r="F84" s="176"/>
      <c r="G84" s="177"/>
      <c r="H84" s="178">
        <v>60</v>
      </c>
    </row>
    <row r="85" spans="2:9" ht="14.25" customHeight="1" x14ac:dyDescent="0.2">
      <c r="B85" s="8" t="s">
        <v>219</v>
      </c>
      <c r="C85" s="175">
        <f>1854</f>
        <v>1854</v>
      </c>
      <c r="D85" s="344">
        <v>1754.9</v>
      </c>
      <c r="E85" s="175">
        <v>2144</v>
      </c>
      <c r="F85" s="176"/>
      <c r="G85" s="177"/>
      <c r="H85" s="178">
        <v>2785</v>
      </c>
    </row>
    <row r="86" spans="2:9" ht="25.5" x14ac:dyDescent="0.2">
      <c r="B86" s="8" t="s">
        <v>220</v>
      </c>
      <c r="C86" s="175">
        <v>140</v>
      </c>
      <c r="D86" s="344">
        <v>267</v>
      </c>
      <c r="E86" s="175">
        <v>135</v>
      </c>
      <c r="F86" s="176"/>
      <c r="G86" s="177"/>
      <c r="H86" s="178">
        <v>155</v>
      </c>
    </row>
    <row r="87" spans="2:9" x14ac:dyDescent="0.2">
      <c r="B87" s="8" t="s">
        <v>221</v>
      </c>
      <c r="C87" s="26"/>
      <c r="D87" s="178"/>
      <c r="E87" s="26"/>
      <c r="F87" s="78"/>
      <c r="G87" s="79"/>
      <c r="H87" s="89"/>
    </row>
    <row r="88" spans="2:9" x14ac:dyDescent="0.2">
      <c r="B88" s="8" t="s">
        <v>222</v>
      </c>
      <c r="C88" s="26"/>
      <c r="D88" s="178"/>
      <c r="E88" s="26"/>
      <c r="F88" s="78"/>
      <c r="G88" s="79"/>
      <c r="H88" s="89"/>
    </row>
    <row r="89" spans="2:9" ht="15.75" customHeight="1" x14ac:dyDescent="0.2">
      <c r="B89" s="8" t="s">
        <v>223</v>
      </c>
      <c r="C89" s="26"/>
      <c r="D89" s="178"/>
      <c r="E89" s="26"/>
      <c r="F89" s="78"/>
      <c r="G89" s="79"/>
      <c r="H89" s="89"/>
    </row>
    <row r="90" spans="2:9" x14ac:dyDescent="0.2">
      <c r="B90" s="8" t="s">
        <v>224</v>
      </c>
      <c r="C90" s="26"/>
      <c r="D90" s="178"/>
      <c r="E90" s="26"/>
      <c r="F90" s="78"/>
      <c r="G90" s="79"/>
      <c r="H90" s="89"/>
    </row>
    <row r="91" spans="2:9" ht="26.25" customHeight="1" x14ac:dyDescent="0.2">
      <c r="B91" s="8" t="s">
        <v>225</v>
      </c>
      <c r="C91" s="175">
        <v>22</v>
      </c>
      <c r="D91" s="344">
        <v>135.69999999999999</v>
      </c>
      <c r="E91" s="175">
        <v>83</v>
      </c>
      <c r="F91" s="176"/>
      <c r="G91" s="177"/>
      <c r="H91" s="178">
        <v>13</v>
      </c>
      <c r="I91" s="438"/>
    </row>
    <row r="92" spans="2:9" ht="26.25" customHeight="1" x14ac:dyDescent="0.2">
      <c r="B92" s="8" t="s">
        <v>226</v>
      </c>
      <c r="C92" s="175">
        <v>35</v>
      </c>
      <c r="D92" s="344">
        <v>34</v>
      </c>
      <c r="E92" s="175">
        <v>24</v>
      </c>
      <c r="F92" s="176"/>
      <c r="G92" s="177"/>
      <c r="H92" s="178">
        <v>56</v>
      </c>
      <c r="I92" s="438"/>
    </row>
    <row r="93" spans="2:9" x14ac:dyDescent="0.2">
      <c r="B93" s="8" t="s">
        <v>227</v>
      </c>
      <c r="C93" s="175">
        <v>307</v>
      </c>
      <c r="D93" s="344">
        <v>319</v>
      </c>
      <c r="E93" s="175">
        <v>362</v>
      </c>
      <c r="F93" s="176"/>
      <c r="G93" s="177"/>
      <c r="H93" s="178">
        <v>397</v>
      </c>
      <c r="I93" s="438"/>
    </row>
    <row r="94" spans="2:9" ht="13.5" thickBot="1" x14ac:dyDescent="0.25">
      <c r="B94" s="7" t="s">
        <v>228</v>
      </c>
      <c r="C94" s="175">
        <f>23+181+1+58</f>
        <v>263</v>
      </c>
      <c r="D94" s="344">
        <v>330</v>
      </c>
      <c r="E94" s="175">
        <v>265</v>
      </c>
      <c r="F94" s="176"/>
      <c r="G94" s="177"/>
      <c r="H94" s="178">
        <v>985</v>
      </c>
      <c r="I94" s="438"/>
    </row>
    <row r="95" spans="2:9" s="48" customFormat="1" ht="13.5" thickBot="1" x14ac:dyDescent="0.25">
      <c r="B95" s="446" t="s">
        <v>429</v>
      </c>
      <c r="C95" s="447">
        <f t="shared" ref="C95:H95" si="6">C96+C97+C99+C101+C103</f>
        <v>1757</v>
      </c>
      <c r="D95" s="341">
        <f t="shared" si="6"/>
        <v>0</v>
      </c>
      <c r="E95" s="341">
        <f t="shared" si="6"/>
        <v>4694</v>
      </c>
      <c r="F95" s="341">
        <f t="shared" si="6"/>
        <v>0</v>
      </c>
      <c r="G95" s="341">
        <f t="shared" si="6"/>
        <v>0</v>
      </c>
      <c r="H95" s="448">
        <f t="shared" si="6"/>
        <v>4809</v>
      </c>
    </row>
    <row r="96" spans="2:9" s="449" customFormat="1" ht="13.5" thickBot="1" x14ac:dyDescent="0.25">
      <c r="B96" s="128" t="s">
        <v>10</v>
      </c>
      <c r="C96" s="450">
        <v>3</v>
      </c>
      <c r="D96" s="451">
        <v>0</v>
      </c>
      <c r="E96" s="451">
        <v>6</v>
      </c>
      <c r="F96" s="451"/>
      <c r="G96" s="451"/>
      <c r="H96" s="452">
        <v>8</v>
      </c>
    </row>
    <row r="97" spans="1:9" s="48" customFormat="1" x14ac:dyDescent="0.2">
      <c r="B97" s="453" t="s">
        <v>5</v>
      </c>
      <c r="C97" s="454">
        <f>C98</f>
        <v>1403</v>
      </c>
      <c r="D97" s="455">
        <f>D98</f>
        <v>0</v>
      </c>
      <c r="E97" s="455">
        <f>E98</f>
        <v>3766</v>
      </c>
      <c r="F97" s="456"/>
      <c r="G97" s="456"/>
      <c r="H97" s="337">
        <f>H98</f>
        <v>3865</v>
      </c>
      <c r="I97" s="449"/>
    </row>
    <row r="98" spans="1:9" s="48" customFormat="1" ht="13.5" thickBot="1" x14ac:dyDescent="0.25">
      <c r="B98" s="457" t="s">
        <v>430</v>
      </c>
      <c r="C98" s="458">
        <v>1403</v>
      </c>
      <c r="D98" s="459"/>
      <c r="E98" s="459">
        <v>3766</v>
      </c>
      <c r="F98" s="460"/>
      <c r="G98" s="461"/>
      <c r="H98" s="462">
        <v>3865</v>
      </c>
      <c r="I98" s="449"/>
    </row>
    <row r="99" spans="1:9" s="48" customFormat="1" x14ac:dyDescent="0.2">
      <c r="B99" s="128" t="s">
        <v>11</v>
      </c>
      <c r="C99" s="454">
        <f>C100</f>
        <v>309</v>
      </c>
      <c r="D99" s="455">
        <f>D100</f>
        <v>0</v>
      </c>
      <c r="E99" s="455">
        <f>E100</f>
        <v>829</v>
      </c>
      <c r="F99" s="456"/>
      <c r="G99" s="456"/>
      <c r="H99" s="337">
        <f>H100</f>
        <v>850</v>
      </c>
      <c r="I99" s="449"/>
    </row>
    <row r="100" spans="1:9" s="48" customFormat="1" ht="13.5" thickBot="1" x14ac:dyDescent="0.25">
      <c r="A100" s="449"/>
      <c r="B100" s="463" t="s">
        <v>431</v>
      </c>
      <c r="C100" s="459">
        <v>309</v>
      </c>
      <c r="D100" s="459"/>
      <c r="E100" s="459">
        <v>829</v>
      </c>
      <c r="F100" s="460"/>
      <c r="G100" s="461"/>
      <c r="H100" s="174">
        <f>+ROUND(H98*0.22,0)</f>
        <v>850</v>
      </c>
      <c r="I100" s="449"/>
    </row>
    <row r="101" spans="1:9" s="48" customFormat="1" x14ac:dyDescent="0.2">
      <c r="B101" s="453" t="s">
        <v>7</v>
      </c>
      <c r="C101" s="454">
        <f>C102</f>
        <v>27</v>
      </c>
      <c r="D101" s="455">
        <f>D102</f>
        <v>0</v>
      </c>
      <c r="E101" s="455">
        <f>E102</f>
        <v>62</v>
      </c>
      <c r="F101" s="456"/>
      <c r="G101" s="456"/>
      <c r="H101" s="337">
        <f>H102</f>
        <v>40</v>
      </c>
      <c r="I101" s="449"/>
    </row>
    <row r="102" spans="1:9" s="48" customFormat="1" ht="13.5" thickBot="1" x14ac:dyDescent="0.25">
      <c r="B102" s="463" t="s">
        <v>432</v>
      </c>
      <c r="C102" s="459">
        <v>27</v>
      </c>
      <c r="D102" s="459"/>
      <c r="E102" s="459">
        <v>62</v>
      </c>
      <c r="F102" s="464"/>
      <c r="G102" s="465"/>
      <c r="H102" s="466">
        <v>40</v>
      </c>
      <c r="I102" s="449"/>
    </row>
    <row r="103" spans="1:9" s="48" customFormat="1" ht="13.5" thickBot="1" x14ac:dyDescent="0.25">
      <c r="B103" s="128" t="s">
        <v>12</v>
      </c>
      <c r="C103" s="454">
        <v>15</v>
      </c>
      <c r="D103" s="455">
        <v>0</v>
      </c>
      <c r="E103" s="455">
        <v>31</v>
      </c>
      <c r="F103" s="456"/>
      <c r="G103" s="456"/>
      <c r="H103" s="337">
        <v>46</v>
      </c>
    </row>
    <row r="104" spans="1:9" ht="13.5" thickBot="1" x14ac:dyDescent="0.25">
      <c r="B104" s="29" t="s">
        <v>13</v>
      </c>
      <c r="C104" s="35">
        <f>C105+C110+C112</f>
        <v>43152</v>
      </c>
      <c r="D104" s="345">
        <f>D105+D110+D112</f>
        <v>11964.6</v>
      </c>
      <c r="E104" s="35">
        <f>E105+E110+E112</f>
        <v>54747</v>
      </c>
      <c r="F104" s="90"/>
      <c r="G104" s="90"/>
      <c r="H104" s="97">
        <f>H105+H110+H112</f>
        <v>75676.5</v>
      </c>
    </row>
    <row r="105" spans="1:9" x14ac:dyDescent="0.2">
      <c r="B105" s="16" t="s">
        <v>15</v>
      </c>
      <c r="C105" s="32">
        <f>SUM(C106:C109)</f>
        <v>24357</v>
      </c>
      <c r="D105" s="346">
        <f>SUM(D106:D109)</f>
        <v>8654.6</v>
      </c>
      <c r="E105" s="32">
        <f>SUM(E106:E109)</f>
        <v>33682</v>
      </c>
      <c r="F105" s="30"/>
      <c r="G105" s="30"/>
      <c r="H105" s="93">
        <f>SUM(H106:H109)</f>
        <v>46848.5</v>
      </c>
    </row>
    <row r="106" spans="1:9" ht="15" customHeight="1" x14ac:dyDescent="0.2">
      <c r="B106" s="8" t="s">
        <v>230</v>
      </c>
      <c r="C106" s="33"/>
      <c r="D106" s="347"/>
      <c r="E106" s="33"/>
      <c r="F106" s="78"/>
      <c r="G106" s="79"/>
      <c r="H106" s="80"/>
    </row>
    <row r="107" spans="1:9" ht="63" customHeight="1" x14ac:dyDescent="0.2">
      <c r="B107" s="8" t="s">
        <v>286</v>
      </c>
      <c r="C107" s="33">
        <v>19911</v>
      </c>
      <c r="D107" s="348">
        <v>7965</v>
      </c>
      <c r="E107" s="33">
        <v>27947</v>
      </c>
      <c r="F107" s="78"/>
      <c r="G107" s="79"/>
      <c r="H107" s="209">
        <v>39709.5</v>
      </c>
    </row>
    <row r="108" spans="1:9" x14ac:dyDescent="0.2">
      <c r="B108" s="8" t="s">
        <v>229</v>
      </c>
      <c r="C108" s="33">
        <v>4446</v>
      </c>
      <c r="D108" s="178">
        <v>689.6</v>
      </c>
      <c r="E108" s="33">
        <v>5735</v>
      </c>
      <c r="F108" s="78"/>
      <c r="G108" s="79"/>
      <c r="H108" s="89">
        <v>7139</v>
      </c>
    </row>
    <row r="109" spans="1:9" ht="13.5" thickBot="1" x14ac:dyDescent="0.25">
      <c r="B109" s="7" t="s">
        <v>231</v>
      </c>
      <c r="C109" s="34"/>
      <c r="D109" s="349"/>
      <c r="E109" s="34"/>
      <c r="F109" s="75"/>
      <c r="G109" s="76"/>
      <c r="H109" s="81"/>
    </row>
    <row r="110" spans="1:9" x14ac:dyDescent="0.2">
      <c r="B110" s="16" t="s">
        <v>14</v>
      </c>
      <c r="C110" s="30">
        <f>C111</f>
        <v>20</v>
      </c>
      <c r="D110" s="346">
        <f>D111</f>
        <v>0</v>
      </c>
      <c r="E110" s="30">
        <f>E111</f>
        <v>0</v>
      </c>
      <c r="F110" s="30"/>
      <c r="G110" s="30"/>
      <c r="H110" s="93">
        <f>H111</f>
        <v>0</v>
      </c>
    </row>
    <row r="111" spans="1:9" ht="13.5" thickBot="1" x14ac:dyDescent="0.25">
      <c r="B111" s="7" t="s">
        <v>232</v>
      </c>
      <c r="C111" s="27">
        <v>20</v>
      </c>
      <c r="D111" s="349"/>
      <c r="E111" s="27"/>
      <c r="F111" s="75"/>
      <c r="G111" s="76"/>
      <c r="H111" s="81"/>
    </row>
    <row r="112" spans="1:9" ht="13.5" thickBot="1" x14ac:dyDescent="0.25">
      <c r="B112" s="31" t="s">
        <v>16</v>
      </c>
      <c r="C112" s="28">
        <v>18775</v>
      </c>
      <c r="D112" s="350">
        <v>3310</v>
      </c>
      <c r="E112" s="28">
        <v>21065</v>
      </c>
      <c r="F112" s="82"/>
      <c r="G112" s="83"/>
      <c r="H112" s="96">
        <v>28828</v>
      </c>
    </row>
    <row r="113" spans="2:9" ht="14.25" thickTop="1" thickBot="1" x14ac:dyDescent="0.25">
      <c r="B113" s="36" t="s">
        <v>32</v>
      </c>
      <c r="C113" s="37">
        <f t="shared" ref="C113:H113" si="7">C6+C68+C104+C95</f>
        <v>6231679</v>
      </c>
      <c r="D113" s="37">
        <f t="shared" si="7"/>
        <v>4807477.33</v>
      </c>
      <c r="E113" s="37">
        <f t="shared" si="7"/>
        <v>4928009</v>
      </c>
      <c r="F113" s="37">
        <f t="shared" si="7"/>
        <v>0</v>
      </c>
      <c r="G113" s="37">
        <f t="shared" si="7"/>
        <v>0</v>
      </c>
      <c r="H113" s="37">
        <f t="shared" si="7"/>
        <v>5960158.8086970057</v>
      </c>
    </row>
    <row r="114" spans="2:9" x14ac:dyDescent="0.2">
      <c r="D114" s="435"/>
    </row>
    <row r="115" spans="2:9" x14ac:dyDescent="0.2">
      <c r="C115" s="433"/>
      <c r="D115" s="436"/>
      <c r="E115" s="433"/>
      <c r="F115" s="433"/>
      <c r="H115" s="433"/>
    </row>
    <row r="116" spans="2:9" x14ac:dyDescent="0.2">
      <c r="B116" s="791" t="s">
        <v>358</v>
      </c>
      <c r="C116" s="189"/>
      <c r="D116" s="190"/>
      <c r="E116" s="191"/>
      <c r="F116" s="191"/>
      <c r="G116" s="792" t="s">
        <v>359</v>
      </c>
      <c r="H116" s="792"/>
      <c r="I116" s="443"/>
    </row>
    <row r="117" spans="2:9" x14ac:dyDescent="0.2">
      <c r="B117" s="791"/>
      <c r="C117" s="812" t="s">
        <v>25</v>
      </c>
      <c r="D117" s="812"/>
      <c r="E117" s="192" t="s">
        <v>26</v>
      </c>
      <c r="F117" s="193"/>
      <c r="G117" s="812" t="s">
        <v>27</v>
      </c>
      <c r="H117" s="812"/>
      <c r="I117" s="443"/>
    </row>
    <row r="118" spans="2:9" ht="15.75" x14ac:dyDescent="0.2">
      <c r="B118" s="219"/>
      <c r="C118" s="194"/>
      <c r="D118" s="194"/>
      <c r="E118" s="192"/>
      <c r="F118" s="193"/>
      <c r="G118" s="194"/>
      <c r="H118" s="194"/>
      <c r="I118" s="443"/>
    </row>
    <row r="119" spans="2:9" ht="15.75" x14ac:dyDescent="0.2">
      <c r="B119" s="219"/>
      <c r="C119" s="434"/>
      <c r="D119" s="434"/>
      <c r="E119" s="434"/>
      <c r="F119" s="434"/>
      <c r="G119" s="434"/>
      <c r="H119" s="434"/>
      <c r="I119" s="443"/>
    </row>
    <row r="120" spans="2:9" ht="15.75" x14ac:dyDescent="0.2">
      <c r="B120" s="219" t="s">
        <v>376</v>
      </c>
      <c r="C120" s="189"/>
      <c r="D120" s="190"/>
      <c r="E120" s="191"/>
      <c r="F120" s="191"/>
      <c r="G120" s="792" t="s">
        <v>377</v>
      </c>
      <c r="H120" s="792"/>
      <c r="I120" s="443"/>
    </row>
    <row r="121" spans="2:9" ht="15.75" x14ac:dyDescent="0.2">
      <c r="B121" s="219"/>
      <c r="C121" s="812" t="s">
        <v>25</v>
      </c>
      <c r="D121" s="812"/>
      <c r="E121" s="192"/>
      <c r="F121" s="193"/>
      <c r="G121" s="812" t="s">
        <v>27</v>
      </c>
      <c r="H121" s="812"/>
      <c r="I121" s="443"/>
    </row>
    <row r="122" spans="2:9" ht="15.75" x14ac:dyDescent="0.25">
      <c r="B122" s="195" t="s">
        <v>360</v>
      </c>
      <c r="C122" s="790" t="s">
        <v>361</v>
      </c>
      <c r="D122" s="790"/>
      <c r="E122" s="196"/>
      <c r="F122" s="212" t="s">
        <v>367</v>
      </c>
      <c r="G122" s="212"/>
      <c r="H122" s="212"/>
      <c r="I122" s="444"/>
    </row>
    <row r="123" spans="2:9" x14ac:dyDescent="0.2">
      <c r="B123" s="111"/>
      <c r="C123" s="102"/>
      <c r="D123" s="112"/>
      <c r="E123" s="105"/>
      <c r="F123" s="105"/>
      <c r="G123" s="105"/>
      <c r="H123" s="105"/>
      <c r="I123" s="445"/>
    </row>
  </sheetData>
  <mergeCells count="16">
    <mergeCell ref="C121:D121"/>
    <mergeCell ref="G121:H121"/>
    <mergeCell ref="C122:D122"/>
    <mergeCell ref="B116:B117"/>
    <mergeCell ref="G116:H116"/>
    <mergeCell ref="C117:D117"/>
    <mergeCell ref="G117:H117"/>
    <mergeCell ref="G120:H120"/>
    <mergeCell ref="B2:H2"/>
    <mergeCell ref="B3:H3"/>
    <mergeCell ref="G1:H1"/>
    <mergeCell ref="E4:E5"/>
    <mergeCell ref="F4:H4"/>
    <mergeCell ref="B4:B5"/>
    <mergeCell ref="C4:C5"/>
    <mergeCell ref="D4:D5"/>
  </mergeCells>
  <phoneticPr fontId="9" type="noConversion"/>
  <pageMargins left="0.23622047244094491" right="0.23622047244094491" top="0.74803149606299213" bottom="0.74803149606299213" header="0.31496062992125984" footer="0.31496062992125984"/>
  <pageSetup paperSize="9" scale="65" fitToWidth="0" fitToHeight="0"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indexed="52"/>
  </sheetPr>
  <dimension ref="A1:Z159"/>
  <sheetViews>
    <sheetView topLeftCell="A13" zoomScaleNormal="100" workbookViewId="0">
      <selection activeCell="Y54" sqref="Y54"/>
    </sheetView>
  </sheetViews>
  <sheetFormatPr defaultRowHeight="12.75" x14ac:dyDescent="0.2"/>
  <cols>
    <col min="1" max="1" width="6.5703125" style="48" customWidth="1"/>
    <col min="2" max="2" width="31.42578125" style="48" customWidth="1"/>
    <col min="3" max="3" width="12.85546875" style="48" customWidth="1"/>
    <col min="4" max="4" width="14.42578125" style="48" customWidth="1"/>
    <col min="5" max="5" width="14" style="48" customWidth="1"/>
    <col min="6" max="6" width="13.7109375" style="48" customWidth="1"/>
    <col min="7" max="7" width="16.28515625" style="48" customWidth="1"/>
    <col min="8" max="8" width="13.140625" style="48" customWidth="1"/>
    <col min="9" max="20" width="0" style="48" hidden="1" customWidth="1"/>
    <col min="21" max="16384" width="9.140625" style="48"/>
  </cols>
  <sheetData>
    <row r="1" spans="1:23" x14ac:dyDescent="0.2">
      <c r="G1" s="849" t="s">
        <v>319</v>
      </c>
      <c r="H1" s="849"/>
    </row>
    <row r="2" spans="1:23" x14ac:dyDescent="0.2">
      <c r="A2" s="850" t="s">
        <v>317</v>
      </c>
      <c r="B2" s="850"/>
      <c r="C2" s="850"/>
      <c r="D2" s="850"/>
      <c r="E2" s="850"/>
      <c r="F2" s="850"/>
      <c r="G2" s="850"/>
      <c r="H2" s="850"/>
    </row>
    <row r="3" spans="1:23" x14ac:dyDescent="0.2">
      <c r="A3" s="850" t="s">
        <v>318</v>
      </c>
      <c r="B3" s="850"/>
      <c r="C3" s="850"/>
      <c r="D3" s="850"/>
      <c r="E3" s="850"/>
      <c r="F3" s="850"/>
      <c r="G3" s="850"/>
      <c r="H3" s="850"/>
    </row>
    <row r="4" spans="1:23" x14ac:dyDescent="0.2">
      <c r="A4" s="94"/>
      <c r="B4" s="94"/>
      <c r="C4" s="94"/>
      <c r="D4" s="94"/>
      <c r="E4" s="94"/>
      <c r="F4" s="94"/>
      <c r="G4" s="94"/>
      <c r="H4" s="94"/>
    </row>
    <row r="5" spans="1:23" ht="25.5" customHeight="1" x14ac:dyDescent="0.35">
      <c r="A5" s="851" t="s">
        <v>350</v>
      </c>
      <c r="B5" s="851"/>
      <c r="C5" s="851"/>
      <c r="D5" s="851"/>
      <c r="E5" s="851"/>
      <c r="F5" s="851"/>
      <c r="G5" s="851"/>
      <c r="H5" s="851"/>
    </row>
    <row r="6" spans="1:23" ht="15" customHeight="1" x14ac:dyDescent="0.2">
      <c r="A6" s="95"/>
      <c r="B6" s="850"/>
      <c r="C6" s="850"/>
      <c r="D6" s="850"/>
      <c r="E6" s="850"/>
      <c r="F6" s="850"/>
      <c r="G6" s="850"/>
      <c r="H6" s="95"/>
    </row>
    <row r="7" spans="1:23" ht="15" customHeight="1" x14ac:dyDescent="0.2">
      <c r="A7" s="94"/>
      <c r="B7" s="843" t="s">
        <v>244</v>
      </c>
      <c r="C7" s="843"/>
    </row>
    <row r="8" spans="1:23" ht="21" customHeight="1" x14ac:dyDescent="0.35">
      <c r="B8" s="49" t="s">
        <v>234</v>
      </c>
      <c r="C8" s="208">
        <v>845406</v>
      </c>
      <c r="E8" s="847"/>
      <c r="F8" s="848"/>
      <c r="G8" s="848"/>
      <c r="H8" s="848"/>
      <c r="I8" s="848"/>
      <c r="J8" s="848"/>
      <c r="K8" s="848"/>
      <c r="L8" s="848"/>
      <c r="M8" s="848"/>
      <c r="N8" s="848"/>
      <c r="O8" s="848"/>
      <c r="P8" s="848"/>
      <c r="Q8" s="848"/>
      <c r="R8" s="848"/>
      <c r="S8" s="848"/>
      <c r="T8" s="848"/>
      <c r="U8" s="848"/>
      <c r="V8" s="848"/>
      <c r="W8" s="848"/>
    </row>
    <row r="9" spans="1:23" ht="15" customHeight="1" x14ac:dyDescent="0.2">
      <c r="B9" s="51" t="s">
        <v>240</v>
      </c>
      <c r="C9" s="50">
        <f>E46</f>
        <v>208263</v>
      </c>
    </row>
    <row r="10" spans="1:23" ht="14.25" customHeight="1" x14ac:dyDescent="0.2">
      <c r="B10" s="49" t="s">
        <v>242</v>
      </c>
      <c r="C10" s="207">
        <f>ДОДАТОК2!C15+ДОДАТОК2!C21+ДОДАТОК2!C27</f>
        <v>56561</v>
      </c>
    </row>
    <row r="11" spans="1:23" ht="15" customHeight="1" x14ac:dyDescent="0.2">
      <c r="B11" s="49" t="s">
        <v>241</v>
      </c>
      <c r="C11" s="50"/>
    </row>
    <row r="12" spans="1:23" x14ac:dyDescent="0.2">
      <c r="B12" s="49" t="s">
        <v>245</v>
      </c>
      <c r="C12" s="9"/>
      <c r="D12" s="52"/>
    </row>
    <row r="13" spans="1:23" x14ac:dyDescent="0.2">
      <c r="B13" s="49" t="s">
        <v>272</v>
      </c>
      <c r="C13" s="9">
        <v>0</v>
      </c>
      <c r="D13" s="52"/>
      <c r="F13" s="213"/>
      <c r="G13" s="213"/>
      <c r="H13" s="214"/>
    </row>
    <row r="14" spans="1:23" x14ac:dyDescent="0.2">
      <c r="B14" s="49" t="s">
        <v>243</v>
      </c>
      <c r="C14" s="9">
        <v>0</v>
      </c>
      <c r="D14" s="52"/>
    </row>
    <row r="15" spans="1:23" ht="13.5" customHeight="1" x14ac:dyDescent="0.2">
      <c r="B15" s="49" t="s">
        <v>246</v>
      </c>
      <c r="C15" s="9">
        <v>0</v>
      </c>
      <c r="D15" s="53"/>
    </row>
    <row r="16" spans="1:23" ht="14.25" customHeight="1" x14ac:dyDescent="0.2">
      <c r="A16" s="844" t="s">
        <v>244</v>
      </c>
      <c r="B16" s="844"/>
      <c r="C16" s="844"/>
      <c r="D16" s="844"/>
      <c r="E16" s="844"/>
      <c r="F16" s="844"/>
      <c r="G16" s="844"/>
      <c r="H16" s="844"/>
    </row>
    <row r="17" spans="1:26" ht="31.5" customHeight="1" x14ac:dyDescent="0.2">
      <c r="A17" s="845" t="s">
        <v>236</v>
      </c>
      <c r="B17" s="845" t="s">
        <v>238</v>
      </c>
      <c r="C17" s="845" t="s">
        <v>276</v>
      </c>
      <c r="D17" s="845" t="s">
        <v>237</v>
      </c>
      <c r="E17" s="845" t="s">
        <v>279</v>
      </c>
      <c r="F17" s="845" t="s">
        <v>239</v>
      </c>
      <c r="G17" s="845"/>
      <c r="H17" s="845"/>
    </row>
    <row r="18" spans="1:26" ht="42" customHeight="1" x14ac:dyDescent="0.2">
      <c r="A18" s="845"/>
      <c r="B18" s="845"/>
      <c r="C18" s="845"/>
      <c r="D18" s="845"/>
      <c r="E18" s="845"/>
      <c r="F18" s="846" t="s">
        <v>235</v>
      </c>
      <c r="G18" s="846" t="s">
        <v>280</v>
      </c>
      <c r="H18" s="846" t="s">
        <v>114</v>
      </c>
    </row>
    <row r="19" spans="1:26" x14ac:dyDescent="0.2">
      <c r="A19" s="845"/>
      <c r="B19" s="845"/>
      <c r="C19" s="845"/>
      <c r="D19" s="845"/>
      <c r="E19" s="845"/>
      <c r="F19" s="846"/>
      <c r="G19" s="846"/>
      <c r="H19" s="846"/>
    </row>
    <row r="20" spans="1:26" ht="13.5" customHeight="1" x14ac:dyDescent="0.2">
      <c r="A20" s="852" t="s">
        <v>277</v>
      </c>
      <c r="B20" s="853"/>
      <c r="C20" s="853"/>
      <c r="D20" s="853"/>
      <c r="E20" s="853"/>
      <c r="F20" s="853"/>
      <c r="G20" s="853"/>
      <c r="H20" s="854"/>
    </row>
    <row r="21" spans="1:26" x14ac:dyDescent="0.2">
      <c r="A21" s="54" t="s">
        <v>265</v>
      </c>
      <c r="B21" s="55" t="s">
        <v>253</v>
      </c>
      <c r="C21" s="9"/>
      <c r="D21" s="56"/>
      <c r="E21" s="57">
        <f>E22+E25+E27+E30+E32+E34+E36</f>
        <v>133806</v>
      </c>
      <c r="F21" s="57">
        <f>F22+F25+F27+F30+F32+F34+F36</f>
        <v>64094</v>
      </c>
      <c r="G21" s="57">
        <f>G22+G25+G27+G30+G32+G34+G36</f>
        <v>69712</v>
      </c>
      <c r="H21" s="57">
        <f>H22+H25+H27+H30+H32+H34+H36</f>
        <v>133806</v>
      </c>
    </row>
    <row r="22" spans="1:26" x14ac:dyDescent="0.2">
      <c r="A22" s="54" t="s">
        <v>258</v>
      </c>
      <c r="B22" s="55" t="s">
        <v>351</v>
      </c>
      <c r="C22" s="59">
        <v>2016</v>
      </c>
      <c r="D22" s="56"/>
      <c r="E22" s="57">
        <f>SUM(E23:E24)</f>
        <v>68992</v>
      </c>
      <c r="F22" s="57">
        <f>SUM(F23:F24)</f>
        <v>33047</v>
      </c>
      <c r="G22" s="57">
        <f>SUM(G23:G24)</f>
        <v>35945</v>
      </c>
      <c r="H22" s="57">
        <f>SUM(H23:H24)</f>
        <v>68992</v>
      </c>
    </row>
    <row r="23" spans="1:26" x14ac:dyDescent="0.2">
      <c r="A23" s="54"/>
      <c r="B23" s="55" t="s">
        <v>325</v>
      </c>
      <c r="C23" s="59"/>
      <c r="D23" s="60" t="s">
        <v>372</v>
      </c>
      <c r="E23" s="58">
        <f>H23</f>
        <v>68351</v>
      </c>
      <c r="F23" s="58">
        <v>33047</v>
      </c>
      <c r="G23" s="58">
        <v>35304</v>
      </c>
      <c r="H23" s="58">
        <f>SUM(F23:G23)</f>
        <v>68351</v>
      </c>
    </row>
    <row r="24" spans="1:26" x14ac:dyDescent="0.2">
      <c r="A24" s="54"/>
      <c r="B24" s="55" t="s">
        <v>326</v>
      </c>
      <c r="C24" s="59"/>
      <c r="D24" s="60"/>
      <c r="E24" s="58">
        <f>H24</f>
        <v>641</v>
      </c>
      <c r="F24" s="58"/>
      <c r="G24" s="58">
        <v>641</v>
      </c>
      <c r="H24" s="58">
        <f>SUM(F24:G24)</f>
        <v>641</v>
      </c>
    </row>
    <row r="25" spans="1:26" x14ac:dyDescent="0.2">
      <c r="A25" s="54" t="s">
        <v>327</v>
      </c>
      <c r="B25" s="55" t="s">
        <v>352</v>
      </c>
      <c r="C25" s="59">
        <v>2020</v>
      </c>
      <c r="D25" s="56"/>
      <c r="E25" s="57">
        <f>SUM(E26:E26)</f>
        <v>9963</v>
      </c>
      <c r="F25" s="57">
        <f t="shared" ref="F25:G25" si="0">SUM(F26:F26)</f>
        <v>2072</v>
      </c>
      <c r="G25" s="57">
        <f t="shared" si="0"/>
        <v>7891</v>
      </c>
      <c r="H25" s="57">
        <f>SUM(H26:H26)</f>
        <v>9963</v>
      </c>
    </row>
    <row r="26" spans="1:26" x14ac:dyDescent="0.2">
      <c r="A26" s="54"/>
      <c r="B26" s="55" t="s">
        <v>326</v>
      </c>
      <c r="C26" s="59"/>
      <c r="D26" s="60" t="s">
        <v>373</v>
      </c>
      <c r="E26" s="58">
        <f>H26</f>
        <v>9963</v>
      </c>
      <c r="F26" s="58">
        <v>2072</v>
      </c>
      <c r="G26" s="58">
        <v>7891</v>
      </c>
      <c r="H26" s="58">
        <f>SUM(F26:G26)</f>
        <v>9963</v>
      </c>
    </row>
    <row r="27" spans="1:26" x14ac:dyDescent="0.2">
      <c r="A27" s="54" t="s">
        <v>328</v>
      </c>
      <c r="B27" s="55" t="s">
        <v>353</v>
      </c>
      <c r="C27" s="59">
        <v>2018</v>
      </c>
      <c r="D27" s="60"/>
      <c r="E27" s="57">
        <f>SUM(E28:E29)</f>
        <v>43853</v>
      </c>
      <c r="F27" s="57">
        <f>SUM(F28:F29)</f>
        <v>26264</v>
      </c>
      <c r="G27" s="57">
        <f>SUM(G28:G29)</f>
        <v>17589</v>
      </c>
      <c r="H27" s="57">
        <f>SUM(H28:H29)</f>
        <v>43853</v>
      </c>
      <c r="Z27" s="109"/>
    </row>
    <row r="28" spans="1:26" x14ac:dyDescent="0.2">
      <c r="A28" s="54"/>
      <c r="B28" s="55" t="s">
        <v>337</v>
      </c>
      <c r="C28" s="59"/>
      <c r="D28" s="60" t="s">
        <v>374</v>
      </c>
      <c r="E28" s="58">
        <f>H28</f>
        <v>43094</v>
      </c>
      <c r="F28" s="58">
        <v>25724</v>
      </c>
      <c r="G28" s="58">
        <v>17370</v>
      </c>
      <c r="H28" s="58">
        <f>SUM(F28:G28)</f>
        <v>43094</v>
      </c>
    </row>
    <row r="29" spans="1:26" x14ac:dyDescent="0.2">
      <c r="A29" s="54"/>
      <c r="B29" s="55" t="s">
        <v>326</v>
      </c>
      <c r="C29" s="59"/>
      <c r="D29" s="60"/>
      <c r="E29" s="58">
        <f>H29</f>
        <v>759</v>
      </c>
      <c r="F29" s="58">
        <v>540</v>
      </c>
      <c r="G29" s="58">
        <v>219</v>
      </c>
      <c r="H29" s="58">
        <f>SUM(F29:G29)</f>
        <v>759</v>
      </c>
    </row>
    <row r="30" spans="1:26" x14ac:dyDescent="0.2">
      <c r="A30" s="54" t="s">
        <v>329</v>
      </c>
      <c r="B30" s="55" t="s">
        <v>354</v>
      </c>
      <c r="C30" s="59">
        <v>2019</v>
      </c>
      <c r="D30" s="60"/>
      <c r="E30" s="57">
        <f>SUM(E31:E31)</f>
        <v>10847</v>
      </c>
      <c r="F30" s="57">
        <f>SUM(F31:F31)</f>
        <v>2662</v>
      </c>
      <c r="G30" s="57">
        <f>SUM(G31:G31)</f>
        <v>8185</v>
      </c>
      <c r="H30" s="57">
        <f>SUM(H31:H31)</f>
        <v>10847</v>
      </c>
    </row>
    <row r="31" spans="1:26" x14ac:dyDescent="0.2">
      <c r="A31" s="54"/>
      <c r="B31" s="55" t="s">
        <v>326</v>
      </c>
      <c r="C31" s="59"/>
      <c r="D31" s="60" t="s">
        <v>375</v>
      </c>
      <c r="E31" s="58">
        <f t="shared" ref="E31" si="1">H31</f>
        <v>10847</v>
      </c>
      <c r="F31" s="58">
        <v>2662</v>
      </c>
      <c r="G31" s="58">
        <v>8185</v>
      </c>
      <c r="H31" s="58">
        <f t="shared" ref="H31" si="2">SUM(F31:G31)</f>
        <v>10847</v>
      </c>
    </row>
    <row r="32" spans="1:26" x14ac:dyDescent="0.2">
      <c r="A32" s="54" t="s">
        <v>330</v>
      </c>
      <c r="B32" s="55" t="s">
        <v>355</v>
      </c>
      <c r="C32" s="59">
        <v>1994</v>
      </c>
      <c r="D32" s="60"/>
      <c r="E32" s="57">
        <f>SUM(E33:E33)</f>
        <v>1</v>
      </c>
      <c r="F32" s="57">
        <f t="shared" ref="F32:G32" si="3">SUM(F33:F33)</f>
        <v>1</v>
      </c>
      <c r="G32" s="57">
        <f t="shared" si="3"/>
        <v>0</v>
      </c>
      <c r="H32" s="57">
        <f>SUM(H33:H33)</f>
        <v>1</v>
      </c>
    </row>
    <row r="33" spans="1:8" x14ac:dyDescent="0.2">
      <c r="A33" s="54"/>
      <c r="B33" s="55" t="s">
        <v>326</v>
      </c>
      <c r="C33" s="59"/>
      <c r="D33" s="60"/>
      <c r="E33" s="58">
        <f>H33</f>
        <v>1</v>
      </c>
      <c r="F33" s="58">
        <v>1</v>
      </c>
      <c r="G33" s="58">
        <v>0</v>
      </c>
      <c r="H33" s="58">
        <f>SUM(F33:G33)</f>
        <v>1</v>
      </c>
    </row>
    <row r="34" spans="1:8" x14ac:dyDescent="0.2">
      <c r="A34" s="54" t="s">
        <v>331</v>
      </c>
      <c r="B34" s="55" t="s">
        <v>356</v>
      </c>
      <c r="C34" s="59">
        <v>1996</v>
      </c>
      <c r="D34" s="60"/>
      <c r="E34" s="57">
        <f>SUM(E35:E35)</f>
        <v>94</v>
      </c>
      <c r="F34" s="57">
        <f t="shared" ref="F34:G34" si="4">SUM(F35:F35)</f>
        <v>25</v>
      </c>
      <c r="G34" s="57">
        <f t="shared" si="4"/>
        <v>69</v>
      </c>
      <c r="H34" s="57">
        <f>SUM(H35:H35)</f>
        <v>94</v>
      </c>
    </row>
    <row r="35" spans="1:8" x14ac:dyDescent="0.2">
      <c r="A35" s="54"/>
      <c r="B35" s="55" t="s">
        <v>326</v>
      </c>
      <c r="C35" s="59"/>
      <c r="D35" s="60"/>
      <c r="E35" s="58">
        <f>H35</f>
        <v>94</v>
      </c>
      <c r="F35" s="58">
        <v>25</v>
      </c>
      <c r="G35" s="58">
        <v>69</v>
      </c>
      <c r="H35" s="58">
        <f>SUM(F35:G35)</f>
        <v>94</v>
      </c>
    </row>
    <row r="36" spans="1:8" x14ac:dyDescent="0.2">
      <c r="A36" s="54" t="s">
        <v>332</v>
      </c>
      <c r="B36" s="55" t="s">
        <v>357</v>
      </c>
      <c r="C36" s="59">
        <v>1992</v>
      </c>
      <c r="D36" s="60"/>
      <c r="E36" s="57">
        <f>SUM(E37:E37)</f>
        <v>56</v>
      </c>
      <c r="F36" s="57">
        <f t="shared" ref="F36:G36" si="5">SUM(F37:F37)</f>
        <v>23</v>
      </c>
      <c r="G36" s="57">
        <f t="shared" si="5"/>
        <v>33</v>
      </c>
      <c r="H36" s="57">
        <f>SUM(H37:H37)</f>
        <v>56</v>
      </c>
    </row>
    <row r="37" spans="1:8" x14ac:dyDescent="0.2">
      <c r="A37" s="54"/>
      <c r="B37" s="55" t="s">
        <v>326</v>
      </c>
      <c r="C37" s="9"/>
      <c r="D37" s="60"/>
      <c r="E37" s="58">
        <f>H37</f>
        <v>56</v>
      </c>
      <c r="F37" s="58">
        <v>23</v>
      </c>
      <c r="G37" s="58">
        <v>33</v>
      </c>
      <c r="H37" s="58">
        <f>SUM(F37:G37)</f>
        <v>56</v>
      </c>
    </row>
    <row r="38" spans="1:8" x14ac:dyDescent="0.2">
      <c r="A38" s="54" t="s">
        <v>266</v>
      </c>
      <c r="B38" s="55" t="s">
        <v>254</v>
      </c>
      <c r="C38" s="9"/>
      <c r="D38" s="56"/>
      <c r="E38" s="58"/>
      <c r="F38" s="58"/>
      <c r="G38" s="58"/>
      <c r="H38" s="58"/>
    </row>
    <row r="39" spans="1:8" x14ac:dyDescent="0.2">
      <c r="A39" s="54" t="s">
        <v>267</v>
      </c>
      <c r="B39" s="55" t="s">
        <v>255</v>
      </c>
      <c r="C39" s="9"/>
      <c r="D39" s="56"/>
      <c r="E39" s="57">
        <f>SUM(E40:E41)</f>
        <v>67500</v>
      </c>
      <c r="F39" s="57">
        <f t="shared" ref="F39:G39" si="6">SUM(F40:F41)</f>
        <v>5823</v>
      </c>
      <c r="G39" s="57">
        <f t="shared" si="6"/>
        <v>61677</v>
      </c>
      <c r="H39" s="57">
        <f>SUM(H40:H41)</f>
        <v>67500</v>
      </c>
    </row>
    <row r="40" spans="1:8" x14ac:dyDescent="0.2">
      <c r="A40" s="54"/>
      <c r="B40" s="55" t="s">
        <v>325</v>
      </c>
      <c r="C40" s="9"/>
      <c r="D40" s="56"/>
      <c r="E40" s="58">
        <f>H40</f>
        <v>25984</v>
      </c>
      <c r="F40" s="58">
        <v>4153</v>
      </c>
      <c r="G40" s="58">
        <v>21831</v>
      </c>
      <c r="H40" s="58">
        <f>F40+G40</f>
        <v>25984</v>
      </c>
    </row>
    <row r="41" spans="1:8" x14ac:dyDescent="0.2">
      <c r="A41" s="54"/>
      <c r="B41" s="55" t="s">
        <v>326</v>
      </c>
      <c r="C41" s="9"/>
      <c r="D41" s="56"/>
      <c r="E41" s="58">
        <f>H41</f>
        <v>41516</v>
      </c>
      <c r="F41" s="58">
        <v>1670</v>
      </c>
      <c r="G41" s="58">
        <f>40273-427</f>
        <v>39846</v>
      </c>
      <c r="H41" s="58">
        <f>F41+G41</f>
        <v>41516</v>
      </c>
    </row>
    <row r="42" spans="1:8" x14ac:dyDescent="0.2">
      <c r="A42" s="54" t="s">
        <v>268</v>
      </c>
      <c r="B42" s="55" t="s">
        <v>256</v>
      </c>
      <c r="C42" s="9"/>
      <c r="D42" s="56"/>
      <c r="E42" s="57">
        <f>SUM(E43:E43)</f>
        <v>6032</v>
      </c>
      <c r="F42" s="57">
        <f t="shared" ref="F42:G42" si="7">SUM(F43:F43)</f>
        <v>111</v>
      </c>
      <c r="G42" s="57">
        <f t="shared" si="7"/>
        <v>5921</v>
      </c>
      <c r="H42" s="57">
        <f t="shared" ref="H42:H45" si="8">F42+G42</f>
        <v>6032</v>
      </c>
    </row>
    <row r="43" spans="1:8" x14ac:dyDescent="0.2">
      <c r="A43" s="54"/>
      <c r="B43" s="55" t="s">
        <v>326</v>
      </c>
      <c r="C43" s="9"/>
      <c r="D43" s="56"/>
      <c r="E43" s="58">
        <f>H43</f>
        <v>6032</v>
      </c>
      <c r="F43" s="58">
        <v>111</v>
      </c>
      <c r="G43" s="58">
        <v>5921</v>
      </c>
      <c r="H43" s="58">
        <f t="shared" si="8"/>
        <v>6032</v>
      </c>
    </row>
    <row r="44" spans="1:8" x14ac:dyDescent="0.2">
      <c r="A44" s="54" t="s">
        <v>269</v>
      </c>
      <c r="B44" s="55" t="s">
        <v>257</v>
      </c>
      <c r="C44" s="9"/>
      <c r="D44" s="56"/>
      <c r="E44" s="57">
        <f>H44</f>
        <v>925</v>
      </c>
      <c r="F44" s="57">
        <f>F45</f>
        <v>0</v>
      </c>
      <c r="G44" s="57">
        <f>G45</f>
        <v>925</v>
      </c>
      <c r="H44" s="57">
        <f t="shared" si="8"/>
        <v>925</v>
      </c>
    </row>
    <row r="45" spans="1:8" x14ac:dyDescent="0.2">
      <c r="A45" s="54" t="s">
        <v>262</v>
      </c>
      <c r="B45" s="55" t="s">
        <v>336</v>
      </c>
      <c r="C45" s="9"/>
      <c r="D45" s="56"/>
      <c r="E45" s="58">
        <f>H45</f>
        <v>925</v>
      </c>
      <c r="F45" s="58"/>
      <c r="G45" s="58">
        <v>925</v>
      </c>
      <c r="H45" s="58">
        <f t="shared" si="8"/>
        <v>925</v>
      </c>
    </row>
    <row r="46" spans="1:8" x14ac:dyDescent="0.2">
      <c r="A46" s="857" t="s">
        <v>114</v>
      </c>
      <c r="B46" s="858"/>
      <c r="C46" s="9"/>
      <c r="D46" s="56"/>
      <c r="E46" s="57">
        <f>E21+E38+E39+E42+E44</f>
        <v>208263</v>
      </c>
      <c r="F46" s="57">
        <f>F21+F38+F39+F42+F44</f>
        <v>70028</v>
      </c>
      <c r="G46" s="57">
        <f>G21+G38+G39+G42+G44</f>
        <v>138235</v>
      </c>
      <c r="H46" s="57">
        <f>H21+H38+H39+H42+H44</f>
        <v>208263</v>
      </c>
    </row>
    <row r="47" spans="1:8" ht="20.25" customHeight="1" x14ac:dyDescent="0.2">
      <c r="A47" s="852" t="s">
        <v>263</v>
      </c>
      <c r="B47" s="853"/>
      <c r="C47" s="853"/>
      <c r="D47" s="853"/>
      <c r="E47" s="853"/>
      <c r="F47" s="853"/>
      <c r="G47" s="853"/>
      <c r="H47" s="854"/>
    </row>
    <row r="48" spans="1:8" x14ac:dyDescent="0.2">
      <c r="A48" s="54" t="s">
        <v>265</v>
      </c>
      <c r="B48" s="55" t="s">
        <v>253</v>
      </c>
      <c r="C48" s="9"/>
      <c r="D48" s="56"/>
      <c r="E48" s="57">
        <f>E49+E52+E54+E57+E59+E61+E63</f>
        <v>36314</v>
      </c>
      <c r="F48" s="57">
        <f>F49+F52+F54+F57+F59+F61+F63</f>
        <v>17395</v>
      </c>
      <c r="G48" s="57">
        <f>G49+G52+G54+G57+G59+G61+G63</f>
        <v>18919</v>
      </c>
      <c r="H48" s="57">
        <f>H49+H52+H54+H57+H59+H61+H63</f>
        <v>36314</v>
      </c>
    </row>
    <row r="49" spans="1:26" x14ac:dyDescent="0.2">
      <c r="A49" s="54" t="s">
        <v>258</v>
      </c>
      <c r="B49" s="55" t="s">
        <v>351</v>
      </c>
      <c r="C49" s="59">
        <v>2016</v>
      </c>
      <c r="D49" s="56"/>
      <c r="E49" s="57">
        <f>SUM(E50:E51)</f>
        <v>18724</v>
      </c>
      <c r="F49" s="57">
        <f>SUM(F50:F51)</f>
        <v>8969</v>
      </c>
      <c r="G49" s="57">
        <f>SUM(G50:G51)</f>
        <v>9755</v>
      </c>
      <c r="H49" s="57">
        <f>SUM(H50:H51)</f>
        <v>18724</v>
      </c>
    </row>
    <row r="50" spans="1:26" x14ac:dyDescent="0.2">
      <c r="A50" s="54"/>
      <c r="B50" s="55" t="s">
        <v>325</v>
      </c>
      <c r="C50" s="59"/>
      <c r="D50" s="60" t="s">
        <v>372</v>
      </c>
      <c r="E50" s="58">
        <f>H50</f>
        <v>18550</v>
      </c>
      <c r="F50" s="58">
        <v>8969</v>
      </c>
      <c r="G50" s="58">
        <v>9581</v>
      </c>
      <c r="H50" s="58">
        <f>SUM(F50:G50)</f>
        <v>18550</v>
      </c>
    </row>
    <row r="51" spans="1:26" x14ac:dyDescent="0.2">
      <c r="A51" s="54"/>
      <c r="B51" s="55" t="s">
        <v>326</v>
      </c>
      <c r="C51" s="59"/>
      <c r="D51" s="60"/>
      <c r="E51" s="58">
        <f>H51</f>
        <v>174</v>
      </c>
      <c r="F51" s="58"/>
      <c r="G51" s="58">
        <v>174</v>
      </c>
      <c r="H51" s="58">
        <f>SUM(F51:G51)</f>
        <v>174</v>
      </c>
    </row>
    <row r="52" spans="1:26" x14ac:dyDescent="0.2">
      <c r="A52" s="54" t="s">
        <v>327</v>
      </c>
      <c r="B52" s="55" t="s">
        <v>352</v>
      </c>
      <c r="C52" s="59">
        <v>2020</v>
      </c>
      <c r="D52" s="56"/>
      <c r="E52" s="57">
        <f>SUM(E53:E53)</f>
        <v>2704</v>
      </c>
      <c r="F52" s="57">
        <f t="shared" ref="F52:G52" si="9">SUM(F53:F53)</f>
        <v>562</v>
      </c>
      <c r="G52" s="57">
        <f t="shared" si="9"/>
        <v>2142</v>
      </c>
      <c r="H52" s="57">
        <f>SUM(H53:H53)</f>
        <v>2704</v>
      </c>
    </row>
    <row r="53" spans="1:26" x14ac:dyDescent="0.2">
      <c r="A53" s="54"/>
      <c r="B53" s="55" t="s">
        <v>326</v>
      </c>
      <c r="C53" s="59"/>
      <c r="D53" s="60" t="s">
        <v>373</v>
      </c>
      <c r="E53" s="58">
        <f>H53</f>
        <v>2704</v>
      </c>
      <c r="F53" s="58">
        <v>562</v>
      </c>
      <c r="G53" s="58">
        <v>2142</v>
      </c>
      <c r="H53" s="58">
        <f>SUM(F53:G53)</f>
        <v>2704</v>
      </c>
    </row>
    <row r="54" spans="1:26" x14ac:dyDescent="0.2">
      <c r="A54" s="54" t="s">
        <v>328</v>
      </c>
      <c r="B54" s="55" t="s">
        <v>353</v>
      </c>
      <c r="C54" s="59">
        <v>2018</v>
      </c>
      <c r="D54" s="60"/>
      <c r="E54" s="57">
        <f>SUM(E55:E56)</f>
        <v>11901</v>
      </c>
      <c r="F54" s="57">
        <f>SUM(F55:F56)</f>
        <v>7128</v>
      </c>
      <c r="G54" s="57">
        <f>SUM(G55:G56)</f>
        <v>4773</v>
      </c>
      <c r="H54" s="57">
        <f>SUM(H55:H56)</f>
        <v>11901</v>
      </c>
      <c r="Z54" s="109"/>
    </row>
    <row r="55" spans="1:26" x14ac:dyDescent="0.2">
      <c r="A55" s="54"/>
      <c r="B55" s="55" t="s">
        <v>337</v>
      </c>
      <c r="C55" s="59"/>
      <c r="D55" s="60" t="s">
        <v>374</v>
      </c>
      <c r="E55" s="58">
        <f>H55</f>
        <v>11695</v>
      </c>
      <c r="F55" s="58">
        <v>6981</v>
      </c>
      <c r="G55" s="58">
        <v>4714</v>
      </c>
      <c r="H55" s="58">
        <f>SUM(F55:G55)</f>
        <v>11695</v>
      </c>
    </row>
    <row r="56" spans="1:26" x14ac:dyDescent="0.2">
      <c r="A56" s="54" t="s">
        <v>329</v>
      </c>
      <c r="B56" s="55" t="s">
        <v>326</v>
      </c>
      <c r="C56" s="59"/>
      <c r="D56" s="60"/>
      <c r="E56" s="58">
        <f>H56</f>
        <v>206</v>
      </c>
      <c r="F56" s="58">
        <v>147</v>
      </c>
      <c r="G56" s="58">
        <v>59</v>
      </c>
      <c r="H56" s="58">
        <f>SUM(F56:G56)</f>
        <v>206</v>
      </c>
    </row>
    <row r="57" spans="1:26" x14ac:dyDescent="0.2">
      <c r="A57" s="54"/>
      <c r="B57" s="55" t="s">
        <v>354</v>
      </c>
      <c r="C57" s="59">
        <v>2019</v>
      </c>
      <c r="D57" s="60"/>
      <c r="E57" s="57">
        <f>SUM(E58:E58)</f>
        <v>2944</v>
      </c>
      <c r="F57" s="57">
        <f>SUM(F58:F58)</f>
        <v>723</v>
      </c>
      <c r="G57" s="57">
        <f>SUM(G58:G58)</f>
        <v>2221</v>
      </c>
      <c r="H57" s="57">
        <f>SUM(H58:H58)</f>
        <v>2944</v>
      </c>
    </row>
    <row r="58" spans="1:26" x14ac:dyDescent="0.2">
      <c r="A58" s="54"/>
      <c r="B58" s="55" t="s">
        <v>326</v>
      </c>
      <c r="C58" s="59"/>
      <c r="D58" s="60" t="s">
        <v>375</v>
      </c>
      <c r="E58" s="58">
        <f t="shared" ref="E58" si="10">H58</f>
        <v>2944</v>
      </c>
      <c r="F58" s="58">
        <v>723</v>
      </c>
      <c r="G58" s="58">
        <v>2221</v>
      </c>
      <c r="H58" s="58">
        <f t="shared" ref="H58" si="11">SUM(F58:G58)</f>
        <v>2944</v>
      </c>
    </row>
    <row r="59" spans="1:26" x14ac:dyDescent="0.2">
      <c r="A59" s="54" t="s">
        <v>330</v>
      </c>
      <c r="B59" s="55" t="s">
        <v>355</v>
      </c>
      <c r="C59" s="59">
        <v>1994</v>
      </c>
      <c r="D59" s="60"/>
      <c r="E59" s="57">
        <f>SUM(E60:E60)</f>
        <v>0</v>
      </c>
      <c r="F59" s="57">
        <f t="shared" ref="F59:G59" si="12">SUM(F60:F60)</f>
        <v>0</v>
      </c>
      <c r="G59" s="57">
        <f t="shared" si="12"/>
        <v>0</v>
      </c>
      <c r="H59" s="57">
        <f>SUM(H60:H60)</f>
        <v>0</v>
      </c>
    </row>
    <row r="60" spans="1:26" x14ac:dyDescent="0.2">
      <c r="A60" s="54"/>
      <c r="B60" s="55" t="s">
        <v>326</v>
      </c>
      <c r="C60" s="59"/>
      <c r="D60" s="60"/>
      <c r="E60" s="58">
        <f>H60</f>
        <v>0</v>
      </c>
      <c r="F60" s="58"/>
      <c r="G60" s="58"/>
      <c r="H60" s="58">
        <f>SUM(F60:G60)</f>
        <v>0</v>
      </c>
    </row>
    <row r="61" spans="1:26" x14ac:dyDescent="0.2">
      <c r="A61" s="54" t="s">
        <v>331</v>
      </c>
      <c r="B61" s="55" t="s">
        <v>356</v>
      </c>
      <c r="C61" s="59">
        <v>1996</v>
      </c>
      <c r="D61" s="60"/>
      <c r="E61" s="57">
        <f>SUM(E62:E62)</f>
        <v>26</v>
      </c>
      <c r="F61" s="57">
        <f t="shared" ref="F61:G61" si="13">SUM(F62:F62)</f>
        <v>7</v>
      </c>
      <c r="G61" s="57">
        <f t="shared" si="13"/>
        <v>19</v>
      </c>
      <c r="H61" s="57">
        <f>SUM(H62:H62)</f>
        <v>26</v>
      </c>
    </row>
    <row r="62" spans="1:26" x14ac:dyDescent="0.2">
      <c r="A62" s="54"/>
      <c r="B62" s="55" t="s">
        <v>326</v>
      </c>
      <c r="C62" s="59"/>
      <c r="D62" s="60"/>
      <c r="E62" s="58">
        <f>H62</f>
        <v>26</v>
      </c>
      <c r="F62" s="58">
        <v>7</v>
      </c>
      <c r="G62" s="58">
        <v>19</v>
      </c>
      <c r="H62" s="58">
        <f>SUM(F62:G62)</f>
        <v>26</v>
      </c>
    </row>
    <row r="63" spans="1:26" x14ac:dyDescent="0.2">
      <c r="A63" s="54" t="s">
        <v>332</v>
      </c>
      <c r="B63" s="55" t="s">
        <v>357</v>
      </c>
      <c r="C63" s="59">
        <v>1992</v>
      </c>
      <c r="D63" s="60"/>
      <c r="E63" s="57">
        <f>SUM(E64:E64)</f>
        <v>15</v>
      </c>
      <c r="F63" s="57">
        <f t="shared" ref="F63:G63" si="14">SUM(F64:F64)</f>
        <v>6</v>
      </c>
      <c r="G63" s="57">
        <f t="shared" si="14"/>
        <v>9</v>
      </c>
      <c r="H63" s="57">
        <f>SUM(H64:H64)</f>
        <v>15</v>
      </c>
    </row>
    <row r="64" spans="1:26" x14ac:dyDescent="0.2">
      <c r="A64" s="54"/>
      <c r="B64" s="55" t="s">
        <v>326</v>
      </c>
      <c r="C64" s="9"/>
      <c r="D64" s="60"/>
      <c r="E64" s="58">
        <f>H64</f>
        <v>15</v>
      </c>
      <c r="F64" s="58">
        <v>6</v>
      </c>
      <c r="G64" s="58">
        <v>9</v>
      </c>
      <c r="H64" s="58">
        <f>SUM(F64:G64)</f>
        <v>15</v>
      </c>
    </row>
    <row r="65" spans="1:17" x14ac:dyDescent="0.2">
      <c r="A65" s="54" t="s">
        <v>266</v>
      </c>
      <c r="B65" s="55" t="s">
        <v>254</v>
      </c>
      <c r="C65" s="9"/>
      <c r="D65" s="56"/>
      <c r="E65" s="58"/>
      <c r="F65" s="58"/>
      <c r="G65" s="58"/>
      <c r="H65" s="58"/>
    </row>
    <row r="66" spans="1:17" x14ac:dyDescent="0.2">
      <c r="A66" s="54" t="s">
        <v>267</v>
      </c>
      <c r="B66" s="55" t="s">
        <v>255</v>
      </c>
      <c r="C66" s="9"/>
      <c r="D66" s="56"/>
      <c r="E66" s="57">
        <f>SUM(E67:E68)</f>
        <v>18318</v>
      </c>
      <c r="F66" s="57">
        <f t="shared" ref="F66:H66" si="15">SUM(F67:F68)</f>
        <v>1580</v>
      </c>
      <c r="G66" s="57">
        <f t="shared" si="15"/>
        <v>16738</v>
      </c>
      <c r="H66" s="57">
        <f t="shared" si="15"/>
        <v>18318</v>
      </c>
    </row>
    <row r="67" spans="1:17" x14ac:dyDescent="0.2">
      <c r="A67" s="54"/>
      <c r="B67" s="55" t="s">
        <v>325</v>
      </c>
      <c r="C67" s="9"/>
      <c r="D67" s="56"/>
      <c r="E67" s="58">
        <f>H67</f>
        <v>7051</v>
      </c>
      <c r="F67" s="58">
        <v>1127</v>
      </c>
      <c r="G67" s="58">
        <v>5924</v>
      </c>
      <c r="H67" s="58">
        <f>F67+G67</f>
        <v>7051</v>
      </c>
    </row>
    <row r="68" spans="1:17" x14ac:dyDescent="0.2">
      <c r="A68" s="54"/>
      <c r="B68" s="55" t="s">
        <v>326</v>
      </c>
      <c r="C68" s="9"/>
      <c r="D68" s="56"/>
      <c r="E68" s="58">
        <f>H68</f>
        <v>11267</v>
      </c>
      <c r="F68" s="58">
        <v>453</v>
      </c>
      <c r="G68" s="58">
        <v>10814</v>
      </c>
      <c r="H68" s="58">
        <f>F68+G68</f>
        <v>11267</v>
      </c>
    </row>
    <row r="69" spans="1:17" x14ac:dyDescent="0.2">
      <c r="A69" s="54" t="s">
        <v>268</v>
      </c>
      <c r="B69" s="55" t="s">
        <v>256</v>
      </c>
      <c r="C69" s="9"/>
      <c r="D69" s="56"/>
      <c r="E69" s="57">
        <f>SUM(E70:E70)</f>
        <v>1637</v>
      </c>
      <c r="F69" s="57">
        <f t="shared" ref="F69:G69" si="16">SUM(F70:F70)</f>
        <v>30</v>
      </c>
      <c r="G69" s="57">
        <f t="shared" si="16"/>
        <v>1607</v>
      </c>
      <c r="H69" s="57">
        <f t="shared" ref="H69:H72" si="17">F69+G69</f>
        <v>1637</v>
      </c>
    </row>
    <row r="70" spans="1:17" x14ac:dyDescent="0.2">
      <c r="A70" s="54"/>
      <c r="B70" s="55" t="s">
        <v>326</v>
      </c>
      <c r="C70" s="9"/>
      <c r="D70" s="56"/>
      <c r="E70" s="58">
        <f>H70</f>
        <v>1637</v>
      </c>
      <c r="F70" s="58">
        <v>30</v>
      </c>
      <c r="G70" s="58">
        <v>1607</v>
      </c>
      <c r="H70" s="58">
        <f t="shared" si="17"/>
        <v>1637</v>
      </c>
    </row>
    <row r="71" spans="1:17" x14ac:dyDescent="0.2">
      <c r="A71" s="54" t="s">
        <v>269</v>
      </c>
      <c r="B71" s="55" t="s">
        <v>257</v>
      </c>
      <c r="C71" s="9"/>
      <c r="D71" s="56"/>
      <c r="E71" s="57">
        <f>H71</f>
        <v>292</v>
      </c>
      <c r="F71" s="57">
        <f>F72</f>
        <v>0</v>
      </c>
      <c r="G71" s="57">
        <f>G72</f>
        <v>292</v>
      </c>
      <c r="H71" s="57">
        <f t="shared" si="17"/>
        <v>292</v>
      </c>
    </row>
    <row r="72" spans="1:17" x14ac:dyDescent="0.2">
      <c r="A72" s="54" t="s">
        <v>262</v>
      </c>
      <c r="B72" s="55" t="s">
        <v>336</v>
      </c>
      <c r="C72" s="9"/>
      <c r="D72" s="56"/>
      <c r="E72" s="58">
        <f>H72</f>
        <v>292</v>
      </c>
      <c r="F72" s="58"/>
      <c r="G72" s="58">
        <f>251+41</f>
        <v>292</v>
      </c>
      <c r="H72" s="58">
        <f t="shared" si="17"/>
        <v>292</v>
      </c>
    </row>
    <row r="73" spans="1:17" x14ac:dyDescent="0.2">
      <c r="A73" s="857" t="s">
        <v>114</v>
      </c>
      <c r="B73" s="858"/>
      <c r="C73" s="9"/>
      <c r="D73" s="56"/>
      <c r="E73" s="57">
        <f>E48+E65+E66+E69+E71</f>
        <v>56561</v>
      </c>
      <c r="F73" s="57">
        <f>F48+F65+F66+F69+F71</f>
        <v>19005</v>
      </c>
      <c r="G73" s="57">
        <f>G48+G65+G66+G69+G71</f>
        <v>37556</v>
      </c>
      <c r="H73" s="57">
        <f>H48+H65+H66+H69+H71</f>
        <v>56561</v>
      </c>
    </row>
    <row r="74" spans="1:17" ht="15.75" x14ac:dyDescent="0.25">
      <c r="A74" s="855" t="s">
        <v>264</v>
      </c>
      <c r="B74" s="855"/>
      <c r="C74" s="855"/>
      <c r="D74" s="855"/>
      <c r="E74" s="855"/>
      <c r="F74" s="855"/>
      <c r="G74" s="855"/>
      <c r="H74" s="855"/>
      <c r="O74" s="107" t="e">
        <f>+#REF!*ДОДАТОК_3!D55/(ДОДАТОК_3!D55+ДОДАТОК_3!D34)</f>
        <v>#REF!</v>
      </c>
      <c r="P74" s="107" t="e">
        <f>+#REF!*ДОДАТОК_3!D55/(ДОДАТОК_3!D55+ДОДАТОК_3!D34)</f>
        <v>#REF!</v>
      </c>
      <c r="Q74" s="48" t="s">
        <v>339</v>
      </c>
    </row>
    <row r="75" spans="1:17" x14ac:dyDescent="0.2">
      <c r="A75" s="54" t="s">
        <v>265</v>
      </c>
      <c r="B75" s="55" t="s">
        <v>253</v>
      </c>
      <c r="C75" s="56"/>
      <c r="D75" s="56"/>
      <c r="E75" s="56"/>
      <c r="F75" s="56"/>
      <c r="G75" s="56"/>
      <c r="H75" s="56"/>
      <c r="O75" s="106" t="s">
        <v>338</v>
      </c>
      <c r="P75" s="106"/>
    </row>
    <row r="76" spans="1:17" x14ac:dyDescent="0.2">
      <c r="A76" s="54" t="s">
        <v>258</v>
      </c>
      <c r="B76" s="55"/>
      <c r="C76" s="56"/>
      <c r="D76" s="56"/>
      <c r="E76" s="56"/>
      <c r="F76" s="56"/>
      <c r="G76" s="56"/>
      <c r="H76" s="56"/>
    </row>
    <row r="77" spans="1:17" x14ac:dyDescent="0.2">
      <c r="A77" s="54" t="s">
        <v>266</v>
      </c>
      <c r="B77" s="55" t="s">
        <v>254</v>
      </c>
      <c r="C77" s="56"/>
      <c r="D77" s="56"/>
      <c r="E77" s="56"/>
      <c r="F77" s="56"/>
      <c r="G77" s="56"/>
      <c r="H77" s="56"/>
    </row>
    <row r="78" spans="1:17" x14ac:dyDescent="0.2">
      <c r="A78" s="54" t="s">
        <v>259</v>
      </c>
      <c r="B78" s="55"/>
      <c r="C78" s="56"/>
      <c r="D78" s="56"/>
      <c r="E78" s="56"/>
      <c r="F78" s="56"/>
      <c r="G78" s="56"/>
      <c r="H78" s="56"/>
    </row>
    <row r="79" spans="1:17" x14ac:dyDescent="0.2">
      <c r="A79" s="54" t="s">
        <v>267</v>
      </c>
      <c r="B79" s="55" t="s">
        <v>255</v>
      </c>
      <c r="C79" s="56"/>
      <c r="D79" s="56"/>
      <c r="E79" s="56"/>
      <c r="F79" s="56"/>
      <c r="G79" s="56"/>
      <c r="H79" s="56"/>
    </row>
    <row r="80" spans="1:17" x14ac:dyDescent="0.2">
      <c r="A80" s="54" t="s">
        <v>260</v>
      </c>
      <c r="B80" s="56"/>
      <c r="C80" s="56"/>
      <c r="D80" s="56"/>
      <c r="E80" s="56"/>
      <c r="F80" s="56"/>
      <c r="G80" s="56"/>
      <c r="H80" s="56"/>
    </row>
    <row r="81" spans="1:8" x14ac:dyDescent="0.2">
      <c r="A81" s="54" t="s">
        <v>268</v>
      </c>
      <c r="B81" s="55" t="s">
        <v>256</v>
      </c>
      <c r="C81" s="56"/>
      <c r="D81" s="56"/>
      <c r="E81" s="56"/>
      <c r="F81" s="56"/>
      <c r="G81" s="56"/>
      <c r="H81" s="56"/>
    </row>
    <row r="82" spans="1:8" x14ac:dyDescent="0.2">
      <c r="A82" s="54" t="s">
        <v>261</v>
      </c>
      <c r="B82" s="55"/>
      <c r="C82" s="56"/>
      <c r="D82" s="56"/>
      <c r="E82" s="56"/>
      <c r="F82" s="56"/>
      <c r="G82" s="56"/>
      <c r="H82" s="56"/>
    </row>
    <row r="83" spans="1:8" x14ac:dyDescent="0.2">
      <c r="A83" s="54" t="s">
        <v>269</v>
      </c>
      <c r="B83" s="55" t="s">
        <v>257</v>
      </c>
      <c r="C83" s="56"/>
      <c r="D83" s="56"/>
      <c r="E83" s="56"/>
      <c r="F83" s="56"/>
      <c r="G83" s="56"/>
      <c r="H83" s="56"/>
    </row>
    <row r="84" spans="1:8" x14ac:dyDescent="0.2">
      <c r="A84" s="54" t="s">
        <v>262</v>
      </c>
      <c r="B84" s="55"/>
      <c r="C84" s="56"/>
      <c r="D84" s="56"/>
      <c r="E84" s="56"/>
      <c r="F84" s="56"/>
      <c r="G84" s="56"/>
      <c r="H84" s="56"/>
    </row>
    <row r="85" spans="1:8" x14ac:dyDescent="0.2">
      <c r="A85" s="856" t="s">
        <v>114</v>
      </c>
      <c r="B85" s="856"/>
      <c r="C85" s="56"/>
      <c r="D85" s="56"/>
      <c r="E85" s="56"/>
      <c r="F85" s="56"/>
      <c r="G85" s="56"/>
      <c r="H85" s="56"/>
    </row>
    <row r="86" spans="1:8" x14ac:dyDescent="0.2">
      <c r="A86" s="855" t="s">
        <v>270</v>
      </c>
      <c r="B86" s="855"/>
      <c r="C86" s="855"/>
      <c r="D86" s="855"/>
      <c r="E86" s="855"/>
      <c r="F86" s="855"/>
      <c r="G86" s="855"/>
      <c r="H86" s="855"/>
    </row>
    <row r="87" spans="1:8" x14ac:dyDescent="0.2">
      <c r="A87" s="54" t="s">
        <v>265</v>
      </c>
      <c r="B87" s="55" t="s">
        <v>253</v>
      </c>
      <c r="C87" s="56"/>
      <c r="D87" s="56"/>
      <c r="E87" s="56"/>
      <c r="F87" s="56"/>
      <c r="G87" s="56"/>
      <c r="H87" s="56"/>
    </row>
    <row r="88" spans="1:8" x14ac:dyDescent="0.2">
      <c r="A88" s="54" t="s">
        <v>258</v>
      </c>
      <c r="B88" s="55"/>
      <c r="C88" s="56"/>
      <c r="D88" s="56"/>
      <c r="E88" s="56"/>
      <c r="F88" s="56"/>
      <c r="G88" s="56"/>
      <c r="H88" s="56"/>
    </row>
    <row r="89" spans="1:8" x14ac:dyDescent="0.2">
      <c r="A89" s="54" t="s">
        <v>266</v>
      </c>
      <c r="B89" s="55" t="s">
        <v>254</v>
      </c>
      <c r="C89" s="56"/>
      <c r="D89" s="56"/>
      <c r="E89" s="56"/>
      <c r="F89" s="56"/>
      <c r="G89" s="56"/>
      <c r="H89" s="56"/>
    </row>
    <row r="90" spans="1:8" x14ac:dyDescent="0.2">
      <c r="A90" s="54" t="s">
        <v>259</v>
      </c>
      <c r="B90" s="55"/>
      <c r="C90" s="56"/>
      <c r="D90" s="56"/>
      <c r="E90" s="56"/>
      <c r="F90" s="56"/>
      <c r="G90" s="56"/>
      <c r="H90" s="56"/>
    </row>
    <row r="91" spans="1:8" x14ac:dyDescent="0.2">
      <c r="A91" s="54" t="s">
        <v>267</v>
      </c>
      <c r="B91" s="55" t="s">
        <v>255</v>
      </c>
      <c r="C91" s="56"/>
      <c r="D91" s="56"/>
      <c r="E91" s="56"/>
      <c r="F91" s="56"/>
      <c r="G91" s="56"/>
      <c r="H91" s="56"/>
    </row>
    <row r="92" spans="1:8" x14ac:dyDescent="0.2">
      <c r="A92" s="54" t="s">
        <v>260</v>
      </c>
      <c r="B92" s="56"/>
      <c r="C92" s="56"/>
      <c r="D92" s="56"/>
      <c r="E92" s="56"/>
      <c r="F92" s="56"/>
      <c r="G92" s="56"/>
      <c r="H92" s="56"/>
    </row>
    <row r="93" spans="1:8" x14ac:dyDescent="0.2">
      <c r="A93" s="54" t="s">
        <v>268</v>
      </c>
      <c r="B93" s="55" t="s">
        <v>256</v>
      </c>
      <c r="C93" s="56"/>
      <c r="D93" s="56"/>
      <c r="E93" s="56"/>
      <c r="F93" s="56"/>
      <c r="G93" s="56"/>
      <c r="H93" s="56"/>
    </row>
    <row r="94" spans="1:8" x14ac:dyDescent="0.2">
      <c r="A94" s="54" t="s">
        <v>261</v>
      </c>
      <c r="B94" s="55"/>
      <c r="C94" s="56"/>
      <c r="D94" s="56"/>
      <c r="E94" s="56"/>
      <c r="F94" s="56"/>
      <c r="G94" s="56"/>
      <c r="H94" s="56"/>
    </row>
    <row r="95" spans="1:8" x14ac:dyDescent="0.2">
      <c r="A95" s="54" t="s">
        <v>269</v>
      </c>
      <c r="B95" s="55" t="s">
        <v>257</v>
      </c>
      <c r="C95" s="56"/>
      <c r="D95" s="56"/>
      <c r="E95" s="56"/>
      <c r="F95" s="56"/>
      <c r="G95" s="56"/>
      <c r="H95" s="56"/>
    </row>
    <row r="96" spans="1:8" x14ac:dyDescent="0.2">
      <c r="A96" s="54" t="s">
        <v>262</v>
      </c>
      <c r="B96" s="55"/>
      <c r="C96" s="56"/>
      <c r="D96" s="56"/>
      <c r="E96" s="56"/>
      <c r="F96" s="56"/>
      <c r="G96" s="56"/>
      <c r="H96" s="56"/>
    </row>
    <row r="97" spans="1:8" x14ac:dyDescent="0.2">
      <c r="A97" s="856" t="s">
        <v>114</v>
      </c>
      <c r="B97" s="856"/>
      <c r="C97" s="56"/>
      <c r="D97" s="56"/>
      <c r="E97" s="56"/>
      <c r="F97" s="56"/>
      <c r="G97" s="56"/>
      <c r="H97" s="56"/>
    </row>
    <row r="98" spans="1:8" x14ac:dyDescent="0.2">
      <c r="A98" s="855" t="s">
        <v>271</v>
      </c>
      <c r="B98" s="855"/>
      <c r="C98" s="855"/>
      <c r="D98" s="855"/>
      <c r="E98" s="855"/>
      <c r="F98" s="855"/>
      <c r="G98" s="855"/>
      <c r="H98" s="855"/>
    </row>
    <row r="99" spans="1:8" x14ac:dyDescent="0.2">
      <c r="A99" s="54" t="s">
        <v>265</v>
      </c>
      <c r="B99" s="55" t="s">
        <v>253</v>
      </c>
      <c r="C99" s="56"/>
      <c r="D99" s="56"/>
      <c r="E99" s="56"/>
      <c r="F99" s="56"/>
      <c r="G99" s="56"/>
      <c r="H99" s="56"/>
    </row>
    <row r="100" spans="1:8" x14ac:dyDescent="0.2">
      <c r="A100" s="54" t="s">
        <v>258</v>
      </c>
      <c r="B100" s="55"/>
      <c r="C100" s="56"/>
      <c r="D100" s="56"/>
      <c r="E100" s="56"/>
      <c r="F100" s="56"/>
      <c r="G100" s="56"/>
      <c r="H100" s="56"/>
    </row>
    <row r="101" spans="1:8" x14ac:dyDescent="0.2">
      <c r="A101" s="54" t="s">
        <v>266</v>
      </c>
      <c r="B101" s="55" t="s">
        <v>254</v>
      </c>
      <c r="C101" s="56"/>
      <c r="D101" s="56"/>
      <c r="E101" s="56"/>
      <c r="F101" s="56"/>
      <c r="G101" s="56"/>
      <c r="H101" s="56"/>
    </row>
    <row r="102" spans="1:8" x14ac:dyDescent="0.2">
      <c r="A102" s="54" t="s">
        <v>259</v>
      </c>
      <c r="B102" s="55"/>
      <c r="C102" s="56"/>
      <c r="D102" s="56"/>
      <c r="E102" s="56"/>
      <c r="F102" s="56"/>
      <c r="G102" s="56"/>
      <c r="H102" s="56"/>
    </row>
    <row r="103" spans="1:8" x14ac:dyDescent="0.2">
      <c r="A103" s="54" t="s">
        <v>267</v>
      </c>
      <c r="B103" s="55" t="s">
        <v>255</v>
      </c>
      <c r="C103" s="56"/>
      <c r="D103" s="56"/>
      <c r="E103" s="56"/>
      <c r="F103" s="56"/>
      <c r="G103" s="56"/>
      <c r="H103" s="56"/>
    </row>
    <row r="104" spans="1:8" x14ac:dyDescent="0.2">
      <c r="A104" s="54" t="s">
        <v>260</v>
      </c>
      <c r="B104" s="56"/>
      <c r="C104" s="56"/>
      <c r="D104" s="56"/>
      <c r="E104" s="56"/>
      <c r="F104" s="56"/>
      <c r="G104" s="56"/>
      <c r="H104" s="56"/>
    </row>
    <row r="105" spans="1:8" x14ac:dyDescent="0.2">
      <c r="A105" s="54" t="s">
        <v>268</v>
      </c>
      <c r="B105" s="55" t="s">
        <v>256</v>
      </c>
      <c r="C105" s="56"/>
      <c r="D105" s="56"/>
      <c r="E105" s="56"/>
      <c r="F105" s="56"/>
      <c r="G105" s="56"/>
      <c r="H105" s="56"/>
    </row>
    <row r="106" spans="1:8" x14ac:dyDescent="0.2">
      <c r="A106" s="54" t="s">
        <v>261</v>
      </c>
      <c r="B106" s="55"/>
      <c r="C106" s="56"/>
      <c r="D106" s="56"/>
      <c r="E106" s="56"/>
      <c r="F106" s="56"/>
      <c r="G106" s="56"/>
      <c r="H106" s="56"/>
    </row>
    <row r="107" spans="1:8" x14ac:dyDescent="0.2">
      <c r="A107" s="54" t="s">
        <v>269</v>
      </c>
      <c r="B107" s="55" t="s">
        <v>257</v>
      </c>
      <c r="C107" s="56"/>
      <c r="D107" s="56"/>
      <c r="E107" s="56"/>
      <c r="F107" s="56"/>
      <c r="G107" s="56"/>
      <c r="H107" s="56"/>
    </row>
    <row r="108" spans="1:8" x14ac:dyDescent="0.2">
      <c r="A108" s="54" t="s">
        <v>262</v>
      </c>
      <c r="B108" s="55"/>
      <c r="C108" s="56"/>
      <c r="D108" s="56"/>
      <c r="E108" s="56"/>
      <c r="F108" s="56"/>
      <c r="G108" s="56"/>
      <c r="H108" s="56"/>
    </row>
    <row r="109" spans="1:8" x14ac:dyDescent="0.2">
      <c r="A109" s="856" t="s">
        <v>114</v>
      </c>
      <c r="B109" s="856"/>
      <c r="C109" s="56"/>
      <c r="D109" s="56"/>
      <c r="E109" s="56"/>
      <c r="F109" s="56"/>
      <c r="G109" s="56"/>
      <c r="H109" s="56"/>
    </row>
    <row r="110" spans="1:8" x14ac:dyDescent="0.2">
      <c r="A110" s="855" t="s">
        <v>273</v>
      </c>
      <c r="B110" s="855"/>
      <c r="C110" s="855"/>
      <c r="D110" s="855"/>
      <c r="E110" s="855"/>
      <c r="F110" s="855"/>
      <c r="G110" s="855"/>
      <c r="H110" s="855"/>
    </row>
    <row r="111" spans="1:8" x14ac:dyDescent="0.2">
      <c r="A111" s="54" t="s">
        <v>265</v>
      </c>
      <c r="B111" s="55" t="s">
        <v>253</v>
      </c>
      <c r="C111" s="56"/>
      <c r="D111" s="56"/>
      <c r="E111" s="56"/>
      <c r="F111" s="56"/>
      <c r="G111" s="56"/>
      <c r="H111" s="56"/>
    </row>
    <row r="112" spans="1:8" x14ac:dyDescent="0.2">
      <c r="A112" s="54" t="s">
        <v>258</v>
      </c>
      <c r="B112" s="55"/>
      <c r="C112" s="56"/>
      <c r="D112" s="56"/>
      <c r="E112" s="56"/>
      <c r="F112" s="56"/>
      <c r="G112" s="56"/>
      <c r="H112" s="56"/>
    </row>
    <row r="113" spans="1:8" x14ac:dyDescent="0.2">
      <c r="A113" s="54" t="s">
        <v>266</v>
      </c>
      <c r="B113" s="55" t="s">
        <v>254</v>
      </c>
      <c r="C113" s="56"/>
      <c r="D113" s="56"/>
      <c r="E113" s="56"/>
      <c r="F113" s="56"/>
      <c r="G113" s="56"/>
      <c r="H113" s="56"/>
    </row>
    <row r="114" spans="1:8" x14ac:dyDescent="0.2">
      <c r="A114" s="54" t="s">
        <v>259</v>
      </c>
      <c r="B114" s="55"/>
      <c r="C114" s="56"/>
      <c r="D114" s="56"/>
      <c r="E114" s="56"/>
      <c r="F114" s="56"/>
      <c r="G114" s="56"/>
      <c r="H114" s="56"/>
    </row>
    <row r="115" spans="1:8" x14ac:dyDescent="0.2">
      <c r="A115" s="54" t="s">
        <v>267</v>
      </c>
      <c r="B115" s="55" t="s">
        <v>255</v>
      </c>
      <c r="C115" s="56"/>
      <c r="D115" s="56"/>
      <c r="E115" s="56"/>
      <c r="F115" s="56"/>
      <c r="G115" s="56"/>
      <c r="H115" s="56"/>
    </row>
    <row r="116" spans="1:8" x14ac:dyDescent="0.2">
      <c r="A116" s="54" t="s">
        <v>260</v>
      </c>
      <c r="B116" s="56"/>
      <c r="C116" s="56"/>
      <c r="D116" s="56"/>
      <c r="E116" s="56"/>
      <c r="F116" s="56"/>
      <c r="G116" s="56"/>
      <c r="H116" s="56"/>
    </row>
    <row r="117" spans="1:8" x14ac:dyDescent="0.2">
      <c r="A117" s="54" t="s">
        <v>268</v>
      </c>
      <c r="B117" s="55" t="s">
        <v>256</v>
      </c>
      <c r="C117" s="56"/>
      <c r="D117" s="56"/>
      <c r="E117" s="56"/>
      <c r="F117" s="56"/>
      <c r="G117" s="56"/>
      <c r="H117" s="56"/>
    </row>
    <row r="118" spans="1:8" x14ac:dyDescent="0.2">
      <c r="A118" s="54" t="s">
        <v>261</v>
      </c>
      <c r="B118" s="55"/>
      <c r="C118" s="56"/>
      <c r="D118" s="56"/>
      <c r="E118" s="56"/>
      <c r="F118" s="56"/>
      <c r="G118" s="56"/>
      <c r="H118" s="56"/>
    </row>
    <row r="119" spans="1:8" x14ac:dyDescent="0.2">
      <c r="A119" s="54" t="s">
        <v>269</v>
      </c>
      <c r="B119" s="55" t="s">
        <v>257</v>
      </c>
      <c r="C119" s="56"/>
      <c r="D119" s="56"/>
      <c r="E119" s="56"/>
      <c r="F119" s="56"/>
      <c r="G119" s="56"/>
      <c r="H119" s="56"/>
    </row>
    <row r="120" spans="1:8" x14ac:dyDescent="0.2">
      <c r="A120" s="54" t="s">
        <v>262</v>
      </c>
      <c r="B120" s="55"/>
      <c r="C120" s="56"/>
      <c r="D120" s="56"/>
      <c r="E120" s="56"/>
      <c r="F120" s="56"/>
      <c r="G120" s="56"/>
      <c r="H120" s="56"/>
    </row>
    <row r="121" spans="1:8" x14ac:dyDescent="0.2">
      <c r="A121" s="856" t="s">
        <v>114</v>
      </c>
      <c r="B121" s="856"/>
      <c r="C121" s="56"/>
      <c r="D121" s="56"/>
      <c r="E121" s="56"/>
      <c r="F121" s="56"/>
      <c r="G121" s="56"/>
      <c r="H121" s="56"/>
    </row>
    <row r="122" spans="1:8" x14ac:dyDescent="0.2">
      <c r="A122" s="855" t="s">
        <v>274</v>
      </c>
      <c r="B122" s="855"/>
      <c r="C122" s="855"/>
      <c r="D122" s="855"/>
      <c r="E122" s="855"/>
      <c r="F122" s="855"/>
      <c r="G122" s="855"/>
      <c r="H122" s="855"/>
    </row>
    <row r="123" spans="1:8" x14ac:dyDescent="0.2">
      <c r="A123" s="54" t="s">
        <v>265</v>
      </c>
      <c r="B123" s="55" t="s">
        <v>253</v>
      </c>
      <c r="C123" s="56"/>
      <c r="D123" s="56"/>
      <c r="E123" s="56"/>
      <c r="F123" s="56"/>
      <c r="G123" s="56"/>
      <c r="H123" s="56"/>
    </row>
    <row r="124" spans="1:8" x14ac:dyDescent="0.2">
      <c r="A124" s="54" t="s">
        <v>258</v>
      </c>
      <c r="B124" s="55"/>
      <c r="C124" s="56"/>
      <c r="D124" s="56"/>
      <c r="E124" s="56"/>
      <c r="F124" s="56"/>
      <c r="G124" s="56"/>
      <c r="H124" s="56"/>
    </row>
    <row r="125" spans="1:8" x14ac:dyDescent="0.2">
      <c r="A125" s="54" t="s">
        <v>266</v>
      </c>
      <c r="B125" s="55" t="s">
        <v>254</v>
      </c>
      <c r="C125" s="56"/>
      <c r="D125" s="56"/>
      <c r="E125" s="56"/>
      <c r="F125" s="56"/>
      <c r="G125" s="56"/>
      <c r="H125" s="56"/>
    </row>
    <row r="126" spans="1:8" x14ac:dyDescent="0.2">
      <c r="A126" s="54" t="s">
        <v>259</v>
      </c>
      <c r="B126" s="55"/>
      <c r="C126" s="56"/>
      <c r="D126" s="56"/>
      <c r="E126" s="56"/>
      <c r="F126" s="56"/>
      <c r="G126" s="56"/>
      <c r="H126" s="56"/>
    </row>
    <row r="127" spans="1:8" x14ac:dyDescent="0.2">
      <c r="A127" s="54" t="s">
        <v>267</v>
      </c>
      <c r="B127" s="55" t="s">
        <v>255</v>
      </c>
      <c r="C127" s="56"/>
      <c r="D127" s="56"/>
      <c r="E127" s="56"/>
      <c r="F127" s="56"/>
      <c r="G127" s="56"/>
      <c r="H127" s="56"/>
    </row>
    <row r="128" spans="1:8" x14ac:dyDescent="0.2">
      <c r="A128" s="54" t="s">
        <v>260</v>
      </c>
      <c r="B128" s="56"/>
      <c r="C128" s="56"/>
      <c r="D128" s="56"/>
      <c r="E128" s="56"/>
      <c r="F128" s="56"/>
      <c r="G128" s="56"/>
      <c r="H128" s="56"/>
    </row>
    <row r="129" spans="1:8" x14ac:dyDescent="0.2">
      <c r="A129" s="54" t="s">
        <v>268</v>
      </c>
      <c r="B129" s="55" t="s">
        <v>256</v>
      </c>
      <c r="C129" s="56"/>
      <c r="D129" s="56"/>
      <c r="E129" s="56"/>
      <c r="F129" s="56"/>
      <c r="G129" s="56"/>
      <c r="H129" s="56"/>
    </row>
    <row r="130" spans="1:8" x14ac:dyDescent="0.2">
      <c r="A130" s="54" t="s">
        <v>261</v>
      </c>
      <c r="B130" s="55"/>
      <c r="C130" s="56"/>
      <c r="D130" s="56"/>
      <c r="E130" s="56"/>
      <c r="F130" s="56"/>
      <c r="G130" s="56"/>
      <c r="H130" s="56"/>
    </row>
    <row r="131" spans="1:8" x14ac:dyDescent="0.2">
      <c r="A131" s="54" t="s">
        <v>269</v>
      </c>
      <c r="B131" s="55" t="s">
        <v>257</v>
      </c>
      <c r="C131" s="56"/>
      <c r="D131" s="56"/>
      <c r="E131" s="56"/>
      <c r="F131" s="56"/>
      <c r="G131" s="56"/>
      <c r="H131" s="56"/>
    </row>
    <row r="132" spans="1:8" x14ac:dyDescent="0.2">
      <c r="A132" s="54" t="s">
        <v>262</v>
      </c>
      <c r="B132" s="55"/>
      <c r="C132" s="56"/>
      <c r="D132" s="56"/>
      <c r="E132" s="56"/>
      <c r="F132" s="56"/>
      <c r="G132" s="56"/>
      <c r="H132" s="56"/>
    </row>
    <row r="133" spans="1:8" x14ac:dyDescent="0.2">
      <c r="A133" s="856" t="s">
        <v>114</v>
      </c>
      <c r="B133" s="856"/>
      <c r="C133" s="56"/>
      <c r="D133" s="56"/>
      <c r="E133" s="56"/>
      <c r="F133" s="56"/>
      <c r="G133" s="56"/>
      <c r="H133" s="56"/>
    </row>
    <row r="134" spans="1:8" x14ac:dyDescent="0.2">
      <c r="A134" s="855" t="s">
        <v>275</v>
      </c>
      <c r="B134" s="855"/>
      <c r="C134" s="855"/>
      <c r="D134" s="855"/>
      <c r="E134" s="855"/>
      <c r="F134" s="855"/>
      <c r="G134" s="855"/>
      <c r="H134" s="855"/>
    </row>
    <row r="135" spans="1:8" x14ac:dyDescent="0.2">
      <c r="A135" s="54" t="s">
        <v>265</v>
      </c>
      <c r="B135" s="55" t="s">
        <v>253</v>
      </c>
      <c r="C135" s="56"/>
      <c r="D135" s="56"/>
      <c r="E135" s="56"/>
      <c r="F135" s="56"/>
      <c r="G135" s="56"/>
      <c r="H135" s="56"/>
    </row>
    <row r="136" spans="1:8" x14ac:dyDescent="0.2">
      <c r="A136" s="54" t="s">
        <v>258</v>
      </c>
      <c r="B136" s="55"/>
      <c r="C136" s="56"/>
      <c r="D136" s="56"/>
      <c r="E136" s="56"/>
      <c r="F136" s="56"/>
      <c r="G136" s="56"/>
      <c r="H136" s="56"/>
    </row>
    <row r="137" spans="1:8" x14ac:dyDescent="0.2">
      <c r="A137" s="54" t="s">
        <v>266</v>
      </c>
      <c r="B137" s="55" t="s">
        <v>254</v>
      </c>
      <c r="C137" s="56"/>
      <c r="D137" s="56"/>
      <c r="E137" s="56"/>
      <c r="F137" s="56"/>
      <c r="G137" s="56"/>
      <c r="H137" s="56"/>
    </row>
    <row r="138" spans="1:8" x14ac:dyDescent="0.2">
      <c r="A138" s="54" t="s">
        <v>259</v>
      </c>
      <c r="B138" s="55"/>
      <c r="C138" s="56"/>
      <c r="D138" s="56"/>
      <c r="E138" s="56"/>
      <c r="F138" s="56"/>
      <c r="G138" s="56"/>
      <c r="H138" s="56"/>
    </row>
    <row r="139" spans="1:8" x14ac:dyDescent="0.2">
      <c r="A139" s="54" t="s">
        <v>267</v>
      </c>
      <c r="B139" s="55" t="s">
        <v>255</v>
      </c>
      <c r="C139" s="56"/>
      <c r="D139" s="56"/>
      <c r="E139" s="56"/>
      <c r="F139" s="56"/>
      <c r="G139" s="56"/>
      <c r="H139" s="56"/>
    </row>
    <row r="140" spans="1:8" x14ac:dyDescent="0.2">
      <c r="A140" s="54" t="s">
        <v>260</v>
      </c>
      <c r="B140" s="56"/>
      <c r="C140" s="56"/>
      <c r="D140" s="56"/>
      <c r="E140" s="56"/>
      <c r="F140" s="56"/>
      <c r="G140" s="56"/>
      <c r="H140" s="56"/>
    </row>
    <row r="141" spans="1:8" x14ac:dyDescent="0.2">
      <c r="A141" s="54" t="s">
        <v>268</v>
      </c>
      <c r="B141" s="55" t="s">
        <v>256</v>
      </c>
      <c r="C141" s="56"/>
      <c r="D141" s="56"/>
      <c r="E141" s="56"/>
      <c r="F141" s="56"/>
      <c r="G141" s="56"/>
      <c r="H141" s="56"/>
    </row>
    <row r="142" spans="1:8" x14ac:dyDescent="0.2">
      <c r="A142" s="54" t="s">
        <v>261</v>
      </c>
      <c r="B142" s="55"/>
      <c r="C142" s="56"/>
      <c r="D142" s="56"/>
      <c r="E142" s="56"/>
      <c r="F142" s="56"/>
      <c r="G142" s="56"/>
      <c r="H142" s="56"/>
    </row>
    <row r="143" spans="1:8" x14ac:dyDescent="0.2">
      <c r="A143" s="54" t="s">
        <v>269</v>
      </c>
      <c r="B143" s="55" t="s">
        <v>257</v>
      </c>
      <c r="C143" s="56"/>
      <c r="D143" s="56"/>
      <c r="E143" s="56"/>
      <c r="F143" s="56"/>
      <c r="G143" s="56"/>
      <c r="H143" s="56"/>
    </row>
    <row r="144" spans="1:8" x14ac:dyDescent="0.2">
      <c r="A144" s="54" t="s">
        <v>262</v>
      </c>
      <c r="B144" s="55"/>
      <c r="C144" s="56"/>
      <c r="D144" s="56"/>
      <c r="E144" s="56"/>
      <c r="F144" s="56"/>
      <c r="G144" s="56"/>
      <c r="H144" s="56"/>
    </row>
    <row r="145" spans="1:23" x14ac:dyDescent="0.2">
      <c r="A145" s="856" t="s">
        <v>114</v>
      </c>
      <c r="B145" s="856"/>
      <c r="C145" s="56"/>
      <c r="D145" s="56"/>
      <c r="E145" s="56"/>
      <c r="F145" s="56"/>
      <c r="G145" s="56"/>
      <c r="H145" s="56"/>
    </row>
    <row r="146" spans="1:23" x14ac:dyDescent="0.2">
      <c r="A146" s="226"/>
      <c r="B146" s="226"/>
      <c r="C146" s="53"/>
      <c r="D146" s="53"/>
      <c r="E146" s="53"/>
      <c r="F146" s="53"/>
      <c r="G146" s="53"/>
      <c r="H146" s="53"/>
    </row>
    <row r="147" spans="1:23" x14ac:dyDescent="0.2">
      <c r="A147" s="226"/>
      <c r="B147" s="226"/>
      <c r="C147" s="53"/>
      <c r="D147" s="53"/>
      <c r="E147" s="53"/>
      <c r="F147" s="53"/>
      <c r="G147" s="53"/>
      <c r="H147" s="53"/>
    </row>
    <row r="148" spans="1:23" x14ac:dyDescent="0.2">
      <c r="A148" s="226"/>
      <c r="B148" s="226"/>
      <c r="C148" s="53"/>
      <c r="D148" s="53"/>
      <c r="E148" s="53"/>
      <c r="F148" s="53"/>
      <c r="G148" s="53"/>
      <c r="H148" s="53"/>
    </row>
    <row r="150" spans="1:23" ht="15.75" customHeight="1" x14ac:dyDescent="0.2">
      <c r="B150" s="791" t="s">
        <v>358</v>
      </c>
      <c r="C150" s="189"/>
      <c r="D150" s="190"/>
      <c r="E150" s="191"/>
      <c r="F150" s="191"/>
      <c r="G150" s="792" t="s">
        <v>359</v>
      </c>
      <c r="H150" s="792"/>
      <c r="I150" s="191"/>
      <c r="J150" s="110"/>
      <c r="K150" s="2"/>
    </row>
    <row r="151" spans="1:23" ht="12.75" customHeight="1" x14ac:dyDescent="0.2">
      <c r="B151" s="791"/>
      <c r="C151" s="812" t="s">
        <v>25</v>
      </c>
      <c r="D151" s="812"/>
      <c r="E151" s="192" t="s">
        <v>26</v>
      </c>
      <c r="F151" s="193"/>
      <c r="G151" s="812" t="s">
        <v>27</v>
      </c>
      <c r="H151" s="812"/>
      <c r="I151" s="191"/>
      <c r="J151" s="110"/>
      <c r="K151" s="2"/>
    </row>
    <row r="152" spans="1:23" ht="12.75" customHeight="1" x14ac:dyDescent="0.2">
      <c r="B152" s="219"/>
      <c r="C152" s="194"/>
      <c r="D152" s="194"/>
      <c r="E152" s="192"/>
      <c r="F152" s="193"/>
      <c r="G152" s="194"/>
      <c r="H152" s="194"/>
      <c r="I152" s="191"/>
      <c r="J152" s="110"/>
      <c r="K152" s="2"/>
    </row>
    <row r="153" spans="1:23" ht="12.75" customHeight="1" x14ac:dyDescent="0.2">
      <c r="B153" s="219"/>
      <c r="C153" s="194"/>
      <c r="D153" s="194"/>
      <c r="E153" s="192"/>
      <c r="F153" s="193"/>
      <c r="G153" s="194"/>
      <c r="H153" s="194"/>
      <c r="I153" s="191"/>
      <c r="J153" s="110"/>
      <c r="K153" s="2"/>
    </row>
    <row r="154" spans="1:23" ht="15.75" x14ac:dyDescent="0.2">
      <c r="B154" s="197"/>
      <c r="C154" s="194"/>
      <c r="D154" s="194"/>
      <c r="E154" s="192"/>
      <c r="F154" s="192"/>
      <c r="G154" s="194"/>
      <c r="H154" s="194"/>
      <c r="I154" s="191"/>
      <c r="J154" s="110"/>
      <c r="K154" s="2"/>
    </row>
    <row r="155" spans="1:23" ht="15.75" x14ac:dyDescent="0.2">
      <c r="B155" s="197" t="s">
        <v>362</v>
      </c>
      <c r="C155" s="189"/>
      <c r="D155" s="190"/>
      <c r="E155" s="191"/>
      <c r="F155" s="191"/>
      <c r="G155" s="792" t="s">
        <v>424</v>
      </c>
      <c r="H155" s="792"/>
      <c r="I155" s="191"/>
      <c r="J155" s="110"/>
      <c r="K155" s="2"/>
    </row>
    <row r="156" spans="1:23" ht="15.75" x14ac:dyDescent="0.2">
      <c r="B156" s="197"/>
      <c r="C156" s="812" t="s">
        <v>25</v>
      </c>
      <c r="D156" s="812"/>
      <c r="E156" s="192"/>
      <c r="F156" s="193"/>
      <c r="G156" s="812" t="s">
        <v>27</v>
      </c>
      <c r="H156" s="812"/>
      <c r="I156" s="191"/>
      <c r="J156" s="110"/>
      <c r="K156" s="2"/>
    </row>
    <row r="157" spans="1:23" ht="28.5" customHeight="1" x14ac:dyDescent="0.25">
      <c r="B157" s="195" t="s">
        <v>360</v>
      </c>
      <c r="C157" s="790" t="s">
        <v>361</v>
      </c>
      <c r="D157" s="790"/>
      <c r="E157" s="196"/>
      <c r="F157" s="196"/>
      <c r="G157" s="802" t="s">
        <v>365</v>
      </c>
      <c r="H157" s="802"/>
      <c r="I157" s="802"/>
      <c r="J157" s="803"/>
      <c r="K157" s="859"/>
      <c r="L157" s="859"/>
      <c r="M157" s="859"/>
      <c r="N157" s="859"/>
      <c r="O157" s="859"/>
      <c r="P157" s="859"/>
      <c r="Q157" s="859"/>
      <c r="R157" s="859"/>
      <c r="S157" s="859"/>
      <c r="T157" s="859"/>
      <c r="U157" s="859"/>
      <c r="V157" s="859"/>
      <c r="W157" s="859"/>
    </row>
    <row r="158" spans="1:23" x14ac:dyDescent="0.2">
      <c r="B158" s="2"/>
      <c r="C158" s="2"/>
      <c r="D158" s="2"/>
      <c r="E158" s="2"/>
      <c r="F158" s="2"/>
      <c r="G158" s="2"/>
      <c r="H158" s="2"/>
      <c r="I158" s="2"/>
      <c r="J158" s="2"/>
      <c r="K158" s="2"/>
    </row>
    <row r="159" spans="1:23" x14ac:dyDescent="0.2">
      <c r="B159" s="2"/>
      <c r="C159" s="2"/>
      <c r="D159" s="2"/>
      <c r="E159" s="2"/>
      <c r="F159" s="2"/>
      <c r="G159" s="2"/>
      <c r="H159" s="2"/>
      <c r="I159" s="2"/>
      <c r="J159" s="2"/>
      <c r="K159" s="2"/>
    </row>
  </sheetData>
  <mergeCells count="42">
    <mergeCell ref="G155:H155"/>
    <mergeCell ref="C156:D156"/>
    <mergeCell ref="G156:H156"/>
    <mergeCell ref="C157:D157"/>
    <mergeCell ref="G157:W157"/>
    <mergeCell ref="B150:B151"/>
    <mergeCell ref="G150:H150"/>
    <mergeCell ref="C151:D151"/>
    <mergeCell ref="G151:H151"/>
    <mergeCell ref="A122:H122"/>
    <mergeCell ref="A133:B133"/>
    <mergeCell ref="A20:H20"/>
    <mergeCell ref="A134:H134"/>
    <mergeCell ref="A145:B145"/>
    <mergeCell ref="A86:H86"/>
    <mergeCell ref="A97:B97"/>
    <mergeCell ref="A98:H98"/>
    <mergeCell ref="A109:B109"/>
    <mergeCell ref="A110:H110"/>
    <mergeCell ref="A121:B121"/>
    <mergeCell ref="A74:H74"/>
    <mergeCell ref="A85:B85"/>
    <mergeCell ref="A46:B46"/>
    <mergeCell ref="A47:H47"/>
    <mergeCell ref="A73:B73"/>
    <mergeCell ref="G1:H1"/>
    <mergeCell ref="A2:H2"/>
    <mergeCell ref="A3:H3"/>
    <mergeCell ref="A5:H5"/>
    <mergeCell ref="B6:G6"/>
    <mergeCell ref="B7:C7"/>
    <mergeCell ref="A16:H16"/>
    <mergeCell ref="A17:A19"/>
    <mergeCell ref="B17:B19"/>
    <mergeCell ref="C17:C19"/>
    <mergeCell ref="D17:D19"/>
    <mergeCell ref="E17:E19"/>
    <mergeCell ref="F17:H17"/>
    <mergeCell ref="F18:F19"/>
    <mergeCell ref="G18:G19"/>
    <mergeCell ref="H18:H19"/>
    <mergeCell ref="E8:W8"/>
  </mergeCells>
  <pageMargins left="1" right="1" top="1" bottom="1" header="0.5" footer="0.5"/>
  <pageSetup paperSize="9" scale="60" fitToWidth="0"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indexed="48"/>
  </sheetPr>
  <dimension ref="A1:U113"/>
  <sheetViews>
    <sheetView workbookViewId="0">
      <selection activeCell="A22" sqref="A22:U22"/>
    </sheetView>
  </sheetViews>
  <sheetFormatPr defaultRowHeight="12.75" x14ac:dyDescent="0.2"/>
  <cols>
    <col min="1" max="1" width="4.140625" style="2" customWidth="1"/>
    <col min="2" max="2" width="34.28515625" style="2" customWidth="1"/>
    <col min="3" max="3" width="11" style="2" customWidth="1"/>
    <col min="4" max="4" width="10.42578125" style="2" customWidth="1"/>
    <col min="5" max="5" width="8.42578125" style="2" customWidth="1"/>
    <col min="6" max="7" width="10.140625" style="2" customWidth="1"/>
    <col min="8" max="9" width="10.28515625" style="2" customWidth="1"/>
    <col min="10" max="11" width="10.140625" style="2" customWidth="1"/>
    <col min="12" max="13" width="10.5703125" style="2" customWidth="1"/>
    <col min="14" max="15" width="10.140625" style="2" customWidth="1"/>
    <col min="16" max="17" width="10.7109375" style="2" customWidth="1"/>
    <col min="18" max="19" width="10.140625" style="2" customWidth="1"/>
    <col min="20" max="20" width="11.28515625" style="2" customWidth="1"/>
    <col min="21" max="16384" width="9.140625" style="2"/>
  </cols>
  <sheetData>
    <row r="1" spans="1:21" x14ac:dyDescent="0.2">
      <c r="R1" s="832" t="s">
        <v>320</v>
      </c>
      <c r="S1" s="832"/>
      <c r="T1" s="832"/>
      <c r="U1" s="832"/>
    </row>
    <row r="2" spans="1:21" x14ac:dyDescent="0.2">
      <c r="A2" s="830" t="s">
        <v>321</v>
      </c>
      <c r="B2" s="830"/>
      <c r="C2" s="830"/>
      <c r="D2" s="830"/>
      <c r="E2" s="830"/>
      <c r="F2" s="830"/>
      <c r="G2" s="830"/>
      <c r="H2" s="830"/>
      <c r="I2" s="830"/>
      <c r="J2" s="830"/>
      <c r="K2" s="830"/>
      <c r="L2" s="830"/>
      <c r="M2" s="830"/>
      <c r="N2" s="830"/>
      <c r="O2" s="830"/>
      <c r="P2" s="830"/>
      <c r="Q2" s="830"/>
      <c r="R2" s="830"/>
      <c r="S2" s="830"/>
      <c r="T2" s="830"/>
      <c r="U2" s="830"/>
    </row>
    <row r="4" spans="1:21" ht="15" customHeight="1" x14ac:dyDescent="0.2">
      <c r="A4" s="866" t="s">
        <v>247</v>
      </c>
      <c r="B4" s="866"/>
      <c r="C4" s="866"/>
      <c r="D4" s="866"/>
      <c r="E4" s="866"/>
      <c r="F4" s="866"/>
      <c r="G4" s="866"/>
      <c r="H4" s="866"/>
      <c r="I4" s="866"/>
      <c r="J4" s="866"/>
      <c r="K4" s="866"/>
      <c r="L4" s="866"/>
      <c r="M4" s="866"/>
      <c r="N4" s="866"/>
      <c r="O4" s="866"/>
      <c r="P4" s="866"/>
      <c r="Q4" s="866"/>
      <c r="R4" s="866"/>
      <c r="S4" s="866"/>
      <c r="T4" s="866"/>
      <c r="U4" s="866"/>
    </row>
    <row r="5" spans="1:21" x14ac:dyDescent="0.2">
      <c r="A5" s="868" t="s">
        <v>244</v>
      </c>
      <c r="B5" s="868"/>
      <c r="C5" s="868"/>
      <c r="D5" s="868"/>
      <c r="E5" s="868"/>
      <c r="F5" s="868"/>
      <c r="G5" s="868"/>
      <c r="H5" s="868"/>
      <c r="I5" s="868"/>
      <c r="J5" s="868"/>
      <c r="K5" s="868"/>
      <c r="L5" s="868"/>
      <c r="M5" s="868"/>
      <c r="N5" s="868"/>
      <c r="O5" s="868"/>
      <c r="P5" s="868"/>
      <c r="Q5" s="868"/>
      <c r="R5" s="868"/>
      <c r="S5" s="868"/>
      <c r="T5" s="868"/>
    </row>
    <row r="6" spans="1:21" ht="31.5" customHeight="1" x14ac:dyDescent="0.2">
      <c r="A6" s="867" t="s">
        <v>236</v>
      </c>
      <c r="B6" s="867" t="s">
        <v>238</v>
      </c>
      <c r="C6" s="867" t="s">
        <v>239</v>
      </c>
      <c r="D6" s="867"/>
      <c r="E6" s="867"/>
      <c r="F6" s="867" t="s">
        <v>248</v>
      </c>
      <c r="G6" s="867"/>
      <c r="H6" s="867"/>
      <c r="I6" s="867"/>
      <c r="J6" s="867"/>
      <c r="K6" s="867"/>
      <c r="L6" s="867"/>
      <c r="M6" s="867"/>
      <c r="N6" s="867"/>
      <c r="O6" s="867"/>
      <c r="P6" s="867"/>
      <c r="Q6" s="867"/>
      <c r="R6" s="867"/>
      <c r="S6" s="867"/>
      <c r="T6" s="867"/>
      <c r="U6" s="867"/>
    </row>
    <row r="7" spans="1:21" ht="18" customHeight="1" x14ac:dyDescent="0.2">
      <c r="A7" s="867"/>
      <c r="B7" s="867"/>
      <c r="C7" s="865" t="s">
        <v>235</v>
      </c>
      <c r="D7" s="865" t="s">
        <v>280</v>
      </c>
      <c r="E7" s="865" t="s">
        <v>114</v>
      </c>
      <c r="F7" s="864" t="s">
        <v>249</v>
      </c>
      <c r="G7" s="864"/>
      <c r="H7" s="864"/>
      <c r="I7" s="864"/>
      <c r="J7" s="864" t="s">
        <v>250</v>
      </c>
      <c r="K7" s="864"/>
      <c r="L7" s="864"/>
      <c r="M7" s="864"/>
      <c r="N7" s="864" t="s">
        <v>251</v>
      </c>
      <c r="O7" s="864"/>
      <c r="P7" s="864"/>
      <c r="Q7" s="864"/>
      <c r="R7" s="864" t="s">
        <v>252</v>
      </c>
      <c r="S7" s="864"/>
      <c r="T7" s="864"/>
      <c r="U7" s="864"/>
    </row>
    <row r="8" spans="1:21" ht="26.25" customHeight="1" x14ac:dyDescent="0.2">
      <c r="A8" s="867"/>
      <c r="B8" s="867"/>
      <c r="C8" s="865"/>
      <c r="D8" s="865"/>
      <c r="E8" s="865"/>
      <c r="F8" s="865" t="s">
        <v>235</v>
      </c>
      <c r="G8" s="865"/>
      <c r="H8" s="865" t="s">
        <v>280</v>
      </c>
      <c r="I8" s="865"/>
      <c r="J8" s="865" t="s">
        <v>235</v>
      </c>
      <c r="K8" s="865"/>
      <c r="L8" s="865" t="s">
        <v>280</v>
      </c>
      <c r="M8" s="865"/>
      <c r="N8" s="865" t="s">
        <v>235</v>
      </c>
      <c r="O8" s="865"/>
      <c r="P8" s="865" t="s">
        <v>280</v>
      </c>
      <c r="Q8" s="865"/>
      <c r="R8" s="865" t="s">
        <v>235</v>
      </c>
      <c r="S8" s="865"/>
      <c r="T8" s="865" t="s">
        <v>280</v>
      </c>
      <c r="U8" s="865"/>
    </row>
    <row r="9" spans="1:21" ht="63.75" x14ac:dyDescent="0.2">
      <c r="A9" s="867"/>
      <c r="B9" s="867"/>
      <c r="C9" s="865"/>
      <c r="D9" s="865"/>
      <c r="E9" s="865"/>
      <c r="F9" s="10" t="s">
        <v>322</v>
      </c>
      <c r="G9" s="10" t="s">
        <v>323</v>
      </c>
      <c r="H9" s="10" t="s">
        <v>322</v>
      </c>
      <c r="I9" s="10" t="s">
        <v>323</v>
      </c>
      <c r="J9" s="10" t="s">
        <v>322</v>
      </c>
      <c r="K9" s="10" t="s">
        <v>323</v>
      </c>
      <c r="L9" s="10" t="s">
        <v>322</v>
      </c>
      <c r="M9" s="10" t="s">
        <v>323</v>
      </c>
      <c r="N9" s="10" t="s">
        <v>322</v>
      </c>
      <c r="O9" s="10" t="s">
        <v>323</v>
      </c>
      <c r="P9" s="10" t="s">
        <v>322</v>
      </c>
      <c r="Q9" s="10" t="s">
        <v>323</v>
      </c>
      <c r="R9" s="10" t="s">
        <v>322</v>
      </c>
      <c r="S9" s="10" t="s">
        <v>323</v>
      </c>
      <c r="T9" s="10" t="s">
        <v>322</v>
      </c>
      <c r="U9" s="10" t="s">
        <v>323</v>
      </c>
    </row>
    <row r="10" spans="1:21" x14ac:dyDescent="0.2">
      <c r="A10" s="860" t="s">
        <v>277</v>
      </c>
      <c r="B10" s="861"/>
      <c r="C10" s="861"/>
      <c r="D10" s="861"/>
      <c r="E10" s="861"/>
      <c r="F10" s="861"/>
      <c r="G10" s="861"/>
      <c r="H10" s="861"/>
      <c r="I10" s="861"/>
      <c r="J10" s="861"/>
      <c r="K10" s="861"/>
      <c r="L10" s="861"/>
      <c r="M10" s="861"/>
      <c r="N10" s="861"/>
      <c r="O10" s="861"/>
      <c r="P10" s="861"/>
      <c r="Q10" s="861"/>
      <c r="R10" s="861"/>
      <c r="S10" s="861"/>
      <c r="T10" s="861"/>
      <c r="U10" s="862"/>
    </row>
    <row r="11" spans="1:21" x14ac:dyDescent="0.2">
      <c r="A11" s="11" t="s">
        <v>265</v>
      </c>
      <c r="B11" s="12" t="s">
        <v>253</v>
      </c>
      <c r="C11" s="13"/>
      <c r="D11" s="13"/>
      <c r="E11" s="13"/>
      <c r="F11" s="13"/>
      <c r="G11" s="13"/>
      <c r="H11" s="13"/>
      <c r="I11" s="13"/>
      <c r="J11" s="13"/>
      <c r="K11" s="13"/>
      <c r="L11" s="13"/>
      <c r="M11" s="13"/>
      <c r="N11" s="13"/>
      <c r="O11" s="13"/>
      <c r="P11" s="13"/>
      <c r="Q11" s="13"/>
      <c r="R11" s="13"/>
      <c r="S11" s="13"/>
      <c r="T11" s="13"/>
      <c r="U11" s="13"/>
    </row>
    <row r="12" spans="1:21" x14ac:dyDescent="0.2">
      <c r="A12" s="11" t="s">
        <v>258</v>
      </c>
      <c r="B12" s="12"/>
      <c r="C12" s="13"/>
      <c r="D12" s="13"/>
      <c r="E12" s="13"/>
      <c r="F12" s="13"/>
      <c r="G12" s="13"/>
      <c r="H12" s="13"/>
      <c r="I12" s="13"/>
      <c r="J12" s="13"/>
      <c r="K12" s="13"/>
      <c r="L12" s="13"/>
      <c r="M12" s="13"/>
      <c r="N12" s="13"/>
      <c r="O12" s="13"/>
      <c r="P12" s="13"/>
      <c r="Q12" s="13"/>
      <c r="R12" s="13"/>
      <c r="S12" s="13"/>
      <c r="T12" s="13"/>
      <c r="U12" s="13"/>
    </row>
    <row r="13" spans="1:21" x14ac:dyDescent="0.2">
      <c r="A13" s="11" t="s">
        <v>266</v>
      </c>
      <c r="B13" s="12" t="s">
        <v>254</v>
      </c>
      <c r="C13" s="13"/>
      <c r="D13" s="13"/>
      <c r="E13" s="13"/>
      <c r="F13" s="13"/>
      <c r="G13" s="13"/>
      <c r="H13" s="13"/>
      <c r="I13" s="13"/>
      <c r="J13" s="13"/>
      <c r="K13" s="13"/>
      <c r="L13" s="13"/>
      <c r="M13" s="13"/>
      <c r="N13" s="13"/>
      <c r="O13" s="13"/>
      <c r="P13" s="13"/>
      <c r="Q13" s="13"/>
      <c r="R13" s="13"/>
      <c r="S13" s="13"/>
      <c r="T13" s="13"/>
      <c r="U13" s="13"/>
    </row>
    <row r="14" spans="1:21" x14ac:dyDescent="0.2">
      <c r="A14" s="11" t="s">
        <v>259</v>
      </c>
      <c r="B14" s="12"/>
      <c r="C14" s="13"/>
      <c r="D14" s="13"/>
      <c r="E14" s="13"/>
      <c r="F14" s="13"/>
      <c r="G14" s="13"/>
      <c r="H14" s="13"/>
      <c r="I14" s="13"/>
      <c r="J14" s="13"/>
      <c r="K14" s="13"/>
      <c r="L14" s="13"/>
      <c r="M14" s="13"/>
      <c r="N14" s="13"/>
      <c r="O14" s="13"/>
      <c r="P14" s="13"/>
      <c r="Q14" s="13"/>
      <c r="R14" s="13"/>
      <c r="S14" s="13"/>
      <c r="T14" s="13"/>
      <c r="U14" s="13"/>
    </row>
    <row r="15" spans="1:21" x14ac:dyDescent="0.2">
      <c r="A15" s="11" t="s">
        <v>267</v>
      </c>
      <c r="B15" s="12" t="s">
        <v>255</v>
      </c>
      <c r="C15" s="13"/>
      <c r="D15" s="13"/>
      <c r="E15" s="13"/>
      <c r="F15" s="13"/>
      <c r="G15" s="13"/>
      <c r="H15" s="13"/>
      <c r="I15" s="13"/>
      <c r="J15" s="13"/>
      <c r="K15" s="13"/>
      <c r="L15" s="13"/>
      <c r="M15" s="13"/>
      <c r="N15" s="13"/>
      <c r="O15" s="13"/>
      <c r="P15" s="13"/>
      <c r="Q15" s="13"/>
      <c r="R15" s="13"/>
      <c r="S15" s="13"/>
      <c r="T15" s="13"/>
      <c r="U15" s="13"/>
    </row>
    <row r="16" spans="1:21" x14ac:dyDescent="0.2">
      <c r="A16" s="11" t="s">
        <v>260</v>
      </c>
      <c r="B16" s="13"/>
      <c r="C16" s="13"/>
      <c r="D16" s="13"/>
      <c r="E16" s="13"/>
      <c r="F16" s="13"/>
      <c r="G16" s="13"/>
      <c r="H16" s="13"/>
      <c r="I16" s="13"/>
      <c r="J16" s="13"/>
      <c r="K16" s="13"/>
      <c r="L16" s="13"/>
      <c r="M16" s="13"/>
      <c r="N16" s="13"/>
      <c r="O16" s="13"/>
      <c r="P16" s="13"/>
      <c r="Q16" s="13"/>
      <c r="R16" s="13"/>
      <c r="S16" s="13"/>
      <c r="T16" s="13"/>
      <c r="U16" s="13"/>
    </row>
    <row r="17" spans="1:21" x14ac:dyDescent="0.2">
      <c r="A17" s="11" t="s">
        <v>268</v>
      </c>
      <c r="B17" s="12" t="s">
        <v>256</v>
      </c>
      <c r="C17" s="13"/>
      <c r="D17" s="13"/>
      <c r="E17" s="13"/>
      <c r="F17" s="13"/>
      <c r="G17" s="13"/>
      <c r="H17" s="13"/>
      <c r="I17" s="13"/>
      <c r="J17" s="13"/>
      <c r="K17" s="13"/>
      <c r="L17" s="13"/>
      <c r="M17" s="13"/>
      <c r="N17" s="13"/>
      <c r="O17" s="13"/>
      <c r="P17" s="13"/>
      <c r="Q17" s="13"/>
      <c r="R17" s="13"/>
      <c r="S17" s="13"/>
      <c r="T17" s="13"/>
      <c r="U17" s="13"/>
    </row>
    <row r="18" spans="1:21" x14ac:dyDescent="0.2">
      <c r="A18" s="11" t="s">
        <v>261</v>
      </c>
      <c r="B18" s="12"/>
      <c r="C18" s="13"/>
      <c r="D18" s="13"/>
      <c r="E18" s="13"/>
      <c r="F18" s="13"/>
      <c r="G18" s="13"/>
      <c r="H18" s="13"/>
      <c r="I18" s="13"/>
      <c r="J18" s="13"/>
      <c r="K18" s="13"/>
      <c r="L18" s="13"/>
      <c r="M18" s="13"/>
      <c r="N18" s="13"/>
      <c r="O18" s="13"/>
      <c r="P18" s="13"/>
      <c r="Q18" s="13"/>
      <c r="R18" s="13"/>
      <c r="S18" s="13"/>
      <c r="T18" s="13"/>
      <c r="U18" s="13"/>
    </row>
    <row r="19" spans="1:21" x14ac:dyDescent="0.2">
      <c r="A19" s="11" t="s">
        <v>269</v>
      </c>
      <c r="B19" s="12" t="s">
        <v>257</v>
      </c>
      <c r="C19" s="13"/>
      <c r="D19" s="13"/>
      <c r="E19" s="13"/>
      <c r="F19" s="13"/>
      <c r="G19" s="13"/>
      <c r="H19" s="13"/>
      <c r="I19" s="13"/>
      <c r="J19" s="13"/>
      <c r="K19" s="13"/>
      <c r="L19" s="13"/>
      <c r="M19" s="13"/>
      <c r="N19" s="13"/>
      <c r="O19" s="13"/>
      <c r="P19" s="13"/>
      <c r="Q19" s="13"/>
      <c r="R19" s="13"/>
      <c r="S19" s="13"/>
      <c r="T19" s="13"/>
      <c r="U19" s="13"/>
    </row>
    <row r="20" spans="1:21" x14ac:dyDescent="0.2">
      <c r="A20" s="11" t="s">
        <v>262</v>
      </c>
      <c r="B20" s="12"/>
      <c r="C20" s="13"/>
      <c r="D20" s="13"/>
      <c r="E20" s="13"/>
      <c r="F20" s="13"/>
      <c r="G20" s="13"/>
      <c r="H20" s="13"/>
      <c r="I20" s="13"/>
      <c r="J20" s="13"/>
      <c r="K20" s="13"/>
      <c r="L20" s="13"/>
      <c r="M20" s="13"/>
      <c r="N20" s="13"/>
      <c r="O20" s="13"/>
      <c r="P20" s="13"/>
      <c r="Q20" s="13"/>
      <c r="R20" s="13"/>
      <c r="S20" s="13"/>
      <c r="T20" s="13"/>
      <c r="U20" s="13"/>
    </row>
    <row r="21" spans="1:21" x14ac:dyDescent="0.2">
      <c r="A21" s="863" t="s">
        <v>114</v>
      </c>
      <c r="B21" s="863"/>
      <c r="C21" s="13"/>
      <c r="D21" s="13"/>
      <c r="E21" s="13"/>
      <c r="F21" s="13"/>
      <c r="G21" s="13"/>
      <c r="H21" s="13"/>
      <c r="I21" s="13"/>
      <c r="J21" s="13"/>
      <c r="K21" s="13"/>
      <c r="L21" s="13"/>
      <c r="M21" s="13"/>
      <c r="N21" s="13"/>
      <c r="O21" s="13"/>
      <c r="P21" s="13"/>
      <c r="Q21" s="13"/>
      <c r="R21" s="13"/>
      <c r="S21" s="13"/>
      <c r="T21" s="13"/>
      <c r="U21" s="13"/>
    </row>
    <row r="22" spans="1:21" x14ac:dyDescent="0.2">
      <c r="A22" s="860" t="s">
        <v>263</v>
      </c>
      <c r="B22" s="861"/>
      <c r="C22" s="861"/>
      <c r="D22" s="861"/>
      <c r="E22" s="861"/>
      <c r="F22" s="861"/>
      <c r="G22" s="861"/>
      <c r="H22" s="861"/>
      <c r="I22" s="861"/>
      <c r="J22" s="861"/>
      <c r="K22" s="861"/>
      <c r="L22" s="861"/>
      <c r="M22" s="861"/>
      <c r="N22" s="861"/>
      <c r="O22" s="861"/>
      <c r="P22" s="861"/>
      <c r="Q22" s="861"/>
      <c r="R22" s="861"/>
      <c r="S22" s="861"/>
      <c r="T22" s="861"/>
      <c r="U22" s="862"/>
    </row>
    <row r="23" spans="1:21" x14ac:dyDescent="0.2">
      <c r="A23" s="11" t="s">
        <v>265</v>
      </c>
      <c r="B23" s="12" t="s">
        <v>253</v>
      </c>
      <c r="C23" s="13"/>
      <c r="D23" s="13"/>
      <c r="E23" s="13"/>
      <c r="F23" s="13"/>
      <c r="G23" s="13"/>
      <c r="H23" s="13"/>
      <c r="I23" s="13"/>
      <c r="J23" s="13"/>
      <c r="K23" s="13"/>
      <c r="L23" s="13"/>
      <c r="M23" s="13"/>
      <c r="N23" s="13"/>
      <c r="O23" s="13"/>
      <c r="P23" s="13"/>
      <c r="Q23" s="13"/>
      <c r="R23" s="13"/>
      <c r="S23" s="13"/>
      <c r="T23" s="13"/>
      <c r="U23" s="13"/>
    </row>
    <row r="24" spans="1:21" x14ac:dyDescent="0.2">
      <c r="A24" s="11" t="s">
        <v>258</v>
      </c>
      <c r="B24" s="12"/>
      <c r="C24" s="13"/>
      <c r="D24" s="13"/>
      <c r="E24" s="13"/>
      <c r="F24" s="13"/>
      <c r="G24" s="13"/>
      <c r="H24" s="13"/>
      <c r="I24" s="13"/>
      <c r="J24" s="13"/>
      <c r="K24" s="13"/>
      <c r="L24" s="13"/>
      <c r="M24" s="13"/>
      <c r="N24" s="13"/>
      <c r="O24" s="13"/>
      <c r="P24" s="13"/>
      <c r="Q24" s="13"/>
      <c r="R24" s="13"/>
      <c r="S24" s="13"/>
      <c r="T24" s="13"/>
      <c r="U24" s="13"/>
    </row>
    <row r="25" spans="1:21" x14ac:dyDescent="0.2">
      <c r="A25" s="11" t="s">
        <v>266</v>
      </c>
      <c r="B25" s="12" t="s">
        <v>254</v>
      </c>
      <c r="C25" s="13"/>
      <c r="D25" s="13"/>
      <c r="E25" s="13"/>
      <c r="F25" s="13"/>
      <c r="G25" s="13"/>
      <c r="H25" s="13"/>
      <c r="I25" s="13"/>
      <c r="J25" s="13"/>
      <c r="K25" s="13"/>
      <c r="L25" s="13"/>
      <c r="M25" s="13"/>
      <c r="N25" s="13"/>
      <c r="O25" s="13"/>
      <c r="P25" s="13"/>
      <c r="Q25" s="13"/>
      <c r="R25" s="13"/>
      <c r="S25" s="13"/>
      <c r="T25" s="13"/>
      <c r="U25" s="13"/>
    </row>
    <row r="26" spans="1:21" x14ac:dyDescent="0.2">
      <c r="A26" s="11" t="s">
        <v>259</v>
      </c>
      <c r="B26" s="12"/>
      <c r="C26" s="13"/>
      <c r="D26" s="13"/>
      <c r="E26" s="13"/>
      <c r="F26" s="13"/>
      <c r="G26" s="13"/>
      <c r="H26" s="13"/>
      <c r="I26" s="13"/>
      <c r="J26" s="13"/>
      <c r="K26" s="13"/>
      <c r="L26" s="13"/>
      <c r="M26" s="13"/>
      <c r="N26" s="13"/>
      <c r="O26" s="13"/>
      <c r="P26" s="13"/>
      <c r="Q26" s="13"/>
      <c r="R26" s="13"/>
      <c r="S26" s="13"/>
      <c r="T26" s="13"/>
      <c r="U26" s="13"/>
    </row>
    <row r="27" spans="1:21" x14ac:dyDescent="0.2">
      <c r="A27" s="11" t="s">
        <v>267</v>
      </c>
      <c r="B27" s="12" t="s">
        <v>255</v>
      </c>
      <c r="C27" s="13"/>
      <c r="D27" s="13"/>
      <c r="E27" s="13"/>
      <c r="F27" s="13"/>
      <c r="G27" s="13"/>
      <c r="H27" s="13"/>
      <c r="I27" s="13"/>
      <c r="J27" s="13"/>
      <c r="K27" s="13"/>
      <c r="L27" s="13"/>
      <c r="M27" s="13"/>
      <c r="N27" s="13"/>
      <c r="O27" s="13"/>
      <c r="P27" s="13"/>
      <c r="Q27" s="13"/>
      <c r="R27" s="13"/>
      <c r="S27" s="13"/>
      <c r="T27" s="13"/>
      <c r="U27" s="13"/>
    </row>
    <row r="28" spans="1:21" x14ac:dyDescent="0.2">
      <c r="A28" s="11" t="s">
        <v>260</v>
      </c>
      <c r="B28" s="13"/>
      <c r="C28" s="13"/>
      <c r="D28" s="13"/>
      <c r="E28" s="13"/>
      <c r="F28" s="13"/>
      <c r="G28" s="13"/>
      <c r="H28" s="13"/>
      <c r="I28" s="13"/>
      <c r="J28" s="13"/>
      <c r="K28" s="13"/>
      <c r="L28" s="13"/>
      <c r="M28" s="13"/>
      <c r="N28" s="13"/>
      <c r="O28" s="13"/>
      <c r="P28" s="13"/>
      <c r="Q28" s="13"/>
      <c r="R28" s="13"/>
      <c r="S28" s="13"/>
      <c r="T28" s="13"/>
      <c r="U28" s="13"/>
    </row>
    <row r="29" spans="1:21" x14ac:dyDescent="0.2">
      <c r="A29" s="11" t="s">
        <v>268</v>
      </c>
      <c r="B29" s="12" t="s">
        <v>256</v>
      </c>
      <c r="C29" s="13"/>
      <c r="D29" s="13"/>
      <c r="E29" s="13"/>
      <c r="F29" s="13"/>
      <c r="G29" s="13"/>
      <c r="H29" s="13"/>
      <c r="I29" s="13"/>
      <c r="J29" s="13"/>
      <c r="K29" s="13"/>
      <c r="L29" s="13"/>
      <c r="M29" s="13"/>
      <c r="N29" s="13"/>
      <c r="O29" s="13"/>
      <c r="P29" s="13"/>
      <c r="Q29" s="13"/>
      <c r="R29" s="13"/>
      <c r="S29" s="13"/>
      <c r="T29" s="13"/>
      <c r="U29" s="13"/>
    </row>
    <row r="30" spans="1:21" x14ac:dyDescent="0.2">
      <c r="A30" s="11" t="s">
        <v>261</v>
      </c>
      <c r="B30" s="12"/>
      <c r="C30" s="13"/>
      <c r="D30" s="13"/>
      <c r="E30" s="13"/>
      <c r="F30" s="13"/>
      <c r="G30" s="13"/>
      <c r="H30" s="13"/>
      <c r="I30" s="13"/>
      <c r="J30" s="13"/>
      <c r="K30" s="13"/>
      <c r="L30" s="13"/>
      <c r="M30" s="13"/>
      <c r="N30" s="13"/>
      <c r="O30" s="13"/>
      <c r="P30" s="13"/>
      <c r="Q30" s="13"/>
      <c r="R30" s="13"/>
      <c r="S30" s="13"/>
      <c r="T30" s="13"/>
      <c r="U30" s="13"/>
    </row>
    <row r="31" spans="1:21" x14ac:dyDescent="0.2">
      <c r="A31" s="11" t="s">
        <v>269</v>
      </c>
      <c r="B31" s="12" t="s">
        <v>257</v>
      </c>
      <c r="C31" s="13"/>
      <c r="D31" s="13"/>
      <c r="E31" s="13"/>
      <c r="F31" s="13"/>
      <c r="G31" s="13"/>
      <c r="H31" s="13"/>
      <c r="I31" s="13"/>
      <c r="J31" s="13"/>
      <c r="K31" s="13"/>
      <c r="L31" s="13"/>
      <c r="M31" s="13"/>
      <c r="N31" s="13"/>
      <c r="O31" s="13"/>
      <c r="P31" s="13"/>
      <c r="Q31" s="13"/>
      <c r="R31" s="13"/>
      <c r="S31" s="13"/>
      <c r="T31" s="13"/>
      <c r="U31" s="13"/>
    </row>
    <row r="32" spans="1:21" x14ac:dyDescent="0.2">
      <c r="A32" s="11" t="s">
        <v>262</v>
      </c>
      <c r="B32" s="12"/>
      <c r="C32" s="13"/>
      <c r="D32" s="13"/>
      <c r="E32" s="13"/>
      <c r="F32" s="13"/>
      <c r="G32" s="13"/>
      <c r="H32" s="13"/>
      <c r="I32" s="13"/>
      <c r="J32" s="13"/>
      <c r="K32" s="13"/>
      <c r="L32" s="13"/>
      <c r="M32" s="13"/>
      <c r="N32" s="13"/>
      <c r="O32" s="13"/>
      <c r="P32" s="13"/>
      <c r="Q32" s="13"/>
      <c r="R32" s="13"/>
      <c r="S32" s="13"/>
      <c r="T32" s="13"/>
      <c r="U32" s="13"/>
    </row>
    <row r="33" spans="1:21" x14ac:dyDescent="0.2">
      <c r="A33" s="863" t="s">
        <v>114</v>
      </c>
      <c r="B33" s="863"/>
      <c r="C33" s="13"/>
      <c r="D33" s="13"/>
      <c r="E33" s="13"/>
      <c r="F33" s="13"/>
      <c r="G33" s="13"/>
      <c r="H33" s="13"/>
      <c r="I33" s="13"/>
      <c r="J33" s="13"/>
      <c r="K33" s="13"/>
      <c r="L33" s="13"/>
      <c r="M33" s="13"/>
      <c r="N33" s="13"/>
      <c r="O33" s="13"/>
      <c r="P33" s="13"/>
      <c r="Q33" s="13"/>
      <c r="R33" s="13"/>
      <c r="S33" s="13"/>
      <c r="T33" s="13"/>
      <c r="U33" s="13"/>
    </row>
    <row r="34" spans="1:21" x14ac:dyDescent="0.2">
      <c r="A34" s="860" t="s">
        <v>264</v>
      </c>
      <c r="B34" s="861"/>
      <c r="C34" s="861"/>
      <c r="D34" s="861"/>
      <c r="E34" s="861"/>
      <c r="F34" s="861"/>
      <c r="G34" s="861"/>
      <c r="H34" s="861"/>
      <c r="I34" s="861"/>
      <c r="J34" s="861"/>
      <c r="K34" s="861"/>
      <c r="L34" s="861"/>
      <c r="M34" s="861"/>
      <c r="N34" s="861"/>
      <c r="O34" s="861"/>
      <c r="P34" s="861"/>
      <c r="Q34" s="861"/>
      <c r="R34" s="861"/>
      <c r="S34" s="861"/>
      <c r="T34" s="861"/>
      <c r="U34" s="862"/>
    </row>
    <row r="35" spans="1:21" x14ac:dyDescent="0.2">
      <c r="A35" s="11" t="s">
        <v>265</v>
      </c>
      <c r="B35" s="12" t="s">
        <v>253</v>
      </c>
      <c r="C35" s="13"/>
      <c r="D35" s="13"/>
      <c r="E35" s="13"/>
      <c r="F35" s="13"/>
      <c r="G35" s="13"/>
      <c r="H35" s="13"/>
      <c r="I35" s="13"/>
      <c r="J35" s="13"/>
      <c r="K35" s="13"/>
      <c r="L35" s="13"/>
      <c r="M35" s="13"/>
      <c r="N35" s="13"/>
      <c r="O35" s="13"/>
      <c r="P35" s="13"/>
      <c r="Q35" s="13"/>
      <c r="R35" s="13"/>
      <c r="S35" s="13"/>
      <c r="T35" s="13"/>
      <c r="U35" s="13"/>
    </row>
    <row r="36" spans="1:21" x14ac:dyDescent="0.2">
      <c r="A36" s="11" t="s">
        <v>258</v>
      </c>
      <c r="B36" s="12"/>
      <c r="C36" s="13"/>
      <c r="D36" s="13"/>
      <c r="E36" s="13"/>
      <c r="F36" s="13"/>
      <c r="G36" s="13"/>
      <c r="H36" s="13"/>
      <c r="I36" s="13"/>
      <c r="J36" s="13"/>
      <c r="K36" s="13"/>
      <c r="L36" s="13"/>
      <c r="M36" s="13"/>
      <c r="N36" s="13"/>
      <c r="O36" s="13"/>
      <c r="P36" s="13"/>
      <c r="Q36" s="13"/>
      <c r="R36" s="13"/>
      <c r="S36" s="13"/>
      <c r="T36" s="13"/>
      <c r="U36" s="13"/>
    </row>
    <row r="37" spans="1:21" x14ac:dyDescent="0.2">
      <c r="A37" s="11" t="s">
        <v>266</v>
      </c>
      <c r="B37" s="12" t="s">
        <v>254</v>
      </c>
      <c r="C37" s="13"/>
      <c r="D37" s="13"/>
      <c r="E37" s="13"/>
      <c r="F37" s="13"/>
      <c r="G37" s="13"/>
      <c r="H37" s="13"/>
      <c r="I37" s="13"/>
      <c r="J37" s="13"/>
      <c r="K37" s="13"/>
      <c r="L37" s="13"/>
      <c r="M37" s="13"/>
      <c r="N37" s="13"/>
      <c r="O37" s="13"/>
      <c r="P37" s="13"/>
      <c r="Q37" s="13"/>
      <c r="R37" s="13"/>
      <c r="S37" s="13"/>
      <c r="T37" s="13"/>
      <c r="U37" s="13"/>
    </row>
    <row r="38" spans="1:21" x14ac:dyDescent="0.2">
      <c r="A38" s="11" t="s">
        <v>259</v>
      </c>
      <c r="B38" s="12"/>
      <c r="C38" s="13"/>
      <c r="D38" s="13"/>
      <c r="E38" s="13"/>
      <c r="F38" s="13"/>
      <c r="G38" s="13"/>
      <c r="H38" s="13"/>
      <c r="I38" s="13"/>
      <c r="J38" s="13"/>
      <c r="K38" s="13"/>
      <c r="L38" s="13"/>
      <c r="M38" s="13"/>
      <c r="N38" s="13"/>
      <c r="O38" s="13"/>
      <c r="P38" s="13"/>
      <c r="Q38" s="13"/>
      <c r="R38" s="13"/>
      <c r="S38" s="13"/>
      <c r="T38" s="13"/>
      <c r="U38" s="13"/>
    </row>
    <row r="39" spans="1:21" x14ac:dyDescent="0.2">
      <c r="A39" s="11" t="s">
        <v>267</v>
      </c>
      <c r="B39" s="12" t="s">
        <v>255</v>
      </c>
      <c r="C39" s="13"/>
      <c r="D39" s="13"/>
      <c r="E39" s="13"/>
      <c r="F39" s="13"/>
      <c r="G39" s="13"/>
      <c r="H39" s="13"/>
      <c r="I39" s="13"/>
      <c r="J39" s="13"/>
      <c r="K39" s="13"/>
      <c r="L39" s="13"/>
      <c r="M39" s="13"/>
      <c r="N39" s="13"/>
      <c r="O39" s="13"/>
      <c r="P39" s="13"/>
      <c r="Q39" s="13"/>
      <c r="R39" s="13"/>
      <c r="S39" s="13"/>
      <c r="T39" s="13"/>
      <c r="U39" s="13"/>
    </row>
    <row r="40" spans="1:21" x14ac:dyDescent="0.2">
      <c r="A40" s="11" t="s">
        <v>260</v>
      </c>
      <c r="B40" s="13"/>
      <c r="C40" s="13"/>
      <c r="D40" s="13"/>
      <c r="E40" s="13"/>
      <c r="F40" s="13"/>
      <c r="G40" s="13"/>
      <c r="H40" s="13"/>
      <c r="I40" s="13"/>
      <c r="J40" s="13"/>
      <c r="K40" s="13"/>
      <c r="L40" s="13"/>
      <c r="M40" s="13"/>
      <c r="N40" s="13"/>
      <c r="O40" s="13"/>
      <c r="P40" s="13"/>
      <c r="Q40" s="13"/>
      <c r="R40" s="13"/>
      <c r="S40" s="13"/>
      <c r="T40" s="13"/>
      <c r="U40" s="13"/>
    </row>
    <row r="41" spans="1:21" x14ac:dyDescent="0.2">
      <c r="A41" s="11" t="s">
        <v>268</v>
      </c>
      <c r="B41" s="12" t="s">
        <v>256</v>
      </c>
      <c r="C41" s="13"/>
      <c r="D41" s="13"/>
      <c r="E41" s="13"/>
      <c r="F41" s="13"/>
      <c r="G41" s="13"/>
      <c r="H41" s="13"/>
      <c r="I41" s="13"/>
      <c r="J41" s="13"/>
      <c r="K41" s="13"/>
      <c r="L41" s="13"/>
      <c r="M41" s="13"/>
      <c r="N41" s="13"/>
      <c r="O41" s="13"/>
      <c r="P41" s="13"/>
      <c r="Q41" s="13"/>
      <c r="R41" s="13"/>
      <c r="S41" s="13"/>
      <c r="T41" s="13"/>
      <c r="U41" s="13"/>
    </row>
    <row r="42" spans="1:21" x14ac:dyDescent="0.2">
      <c r="A42" s="11" t="s">
        <v>261</v>
      </c>
      <c r="B42" s="12"/>
      <c r="C42" s="13"/>
      <c r="D42" s="13"/>
      <c r="E42" s="13"/>
      <c r="F42" s="13"/>
      <c r="G42" s="13"/>
      <c r="H42" s="13"/>
      <c r="I42" s="13"/>
      <c r="J42" s="13"/>
      <c r="K42" s="13"/>
      <c r="L42" s="13"/>
      <c r="M42" s="13"/>
      <c r="N42" s="13"/>
      <c r="O42" s="13"/>
      <c r="P42" s="13"/>
      <c r="Q42" s="13"/>
      <c r="R42" s="13"/>
      <c r="S42" s="13"/>
      <c r="T42" s="13"/>
      <c r="U42" s="13"/>
    </row>
    <row r="43" spans="1:21" x14ac:dyDescent="0.2">
      <c r="A43" s="11" t="s">
        <v>269</v>
      </c>
      <c r="B43" s="12" t="s">
        <v>257</v>
      </c>
      <c r="C43" s="13"/>
      <c r="D43" s="13"/>
      <c r="E43" s="13"/>
      <c r="F43" s="13"/>
      <c r="G43" s="13"/>
      <c r="H43" s="13"/>
      <c r="I43" s="13"/>
      <c r="J43" s="13"/>
      <c r="K43" s="13"/>
      <c r="L43" s="13"/>
      <c r="M43" s="13"/>
      <c r="N43" s="13"/>
      <c r="O43" s="13"/>
      <c r="P43" s="13"/>
      <c r="Q43" s="13"/>
      <c r="R43" s="13"/>
      <c r="S43" s="13"/>
      <c r="T43" s="13"/>
      <c r="U43" s="13"/>
    </row>
    <row r="44" spans="1:21" x14ac:dyDescent="0.2">
      <c r="A44" s="11" t="s">
        <v>262</v>
      </c>
      <c r="B44" s="12"/>
      <c r="C44" s="13"/>
      <c r="D44" s="13"/>
      <c r="E44" s="13"/>
      <c r="F44" s="13"/>
      <c r="G44" s="13"/>
      <c r="H44" s="13"/>
      <c r="I44" s="13"/>
      <c r="J44" s="13"/>
      <c r="K44" s="13"/>
      <c r="L44" s="13"/>
      <c r="M44" s="13"/>
      <c r="N44" s="13"/>
      <c r="O44" s="13"/>
      <c r="P44" s="13"/>
      <c r="Q44" s="13"/>
      <c r="R44" s="13"/>
      <c r="S44" s="13"/>
      <c r="T44" s="13"/>
      <c r="U44" s="13"/>
    </row>
    <row r="45" spans="1:21" x14ac:dyDescent="0.2">
      <c r="A45" s="863" t="s">
        <v>114</v>
      </c>
      <c r="B45" s="863"/>
      <c r="C45" s="13"/>
      <c r="D45" s="13"/>
      <c r="E45" s="13"/>
      <c r="F45" s="13"/>
      <c r="G45" s="13"/>
      <c r="H45" s="13"/>
      <c r="I45" s="13"/>
      <c r="J45" s="13"/>
      <c r="K45" s="13"/>
      <c r="L45" s="13"/>
      <c r="M45" s="13"/>
      <c r="N45" s="13"/>
      <c r="O45" s="13"/>
      <c r="P45" s="13"/>
      <c r="Q45" s="13"/>
      <c r="R45" s="13"/>
      <c r="S45" s="13"/>
      <c r="T45" s="13"/>
      <c r="U45" s="13"/>
    </row>
    <row r="46" spans="1:21" x14ac:dyDescent="0.2">
      <c r="A46" s="860" t="s">
        <v>270</v>
      </c>
      <c r="B46" s="861"/>
      <c r="C46" s="861"/>
      <c r="D46" s="861"/>
      <c r="E46" s="861"/>
      <c r="F46" s="861"/>
      <c r="G46" s="861"/>
      <c r="H46" s="861"/>
      <c r="I46" s="861"/>
      <c r="J46" s="861"/>
      <c r="K46" s="861"/>
      <c r="L46" s="861"/>
      <c r="M46" s="861"/>
      <c r="N46" s="861"/>
      <c r="O46" s="861"/>
      <c r="P46" s="861"/>
      <c r="Q46" s="861"/>
      <c r="R46" s="861"/>
      <c r="S46" s="861"/>
      <c r="T46" s="861"/>
      <c r="U46" s="862"/>
    </row>
    <row r="47" spans="1:21" x14ac:dyDescent="0.2">
      <c r="A47" s="11" t="s">
        <v>265</v>
      </c>
      <c r="B47" s="12" t="s">
        <v>253</v>
      </c>
      <c r="C47" s="13"/>
      <c r="D47" s="13"/>
      <c r="E47" s="13"/>
      <c r="F47" s="13"/>
      <c r="G47" s="13"/>
      <c r="H47" s="13"/>
      <c r="I47" s="13"/>
      <c r="J47" s="13"/>
      <c r="K47" s="13"/>
      <c r="L47" s="13"/>
      <c r="M47" s="13"/>
      <c r="N47" s="13"/>
      <c r="O47" s="13"/>
      <c r="P47" s="13"/>
      <c r="Q47" s="13"/>
      <c r="R47" s="13"/>
      <c r="S47" s="13"/>
      <c r="T47" s="13"/>
      <c r="U47" s="13"/>
    </row>
    <row r="48" spans="1:21" x14ac:dyDescent="0.2">
      <c r="A48" s="11" t="s">
        <v>258</v>
      </c>
      <c r="B48" s="12"/>
      <c r="C48" s="13"/>
      <c r="D48" s="13"/>
      <c r="E48" s="13"/>
      <c r="F48" s="13"/>
      <c r="G48" s="13"/>
      <c r="H48" s="13"/>
      <c r="I48" s="13"/>
      <c r="J48" s="13"/>
      <c r="K48" s="13"/>
      <c r="L48" s="13"/>
      <c r="M48" s="13"/>
      <c r="N48" s="13"/>
      <c r="O48" s="13"/>
      <c r="P48" s="13"/>
      <c r="Q48" s="13"/>
      <c r="R48" s="13"/>
      <c r="S48" s="13"/>
      <c r="T48" s="13"/>
      <c r="U48" s="13"/>
    </row>
    <row r="49" spans="1:21" x14ac:dyDescent="0.2">
      <c r="A49" s="11" t="s">
        <v>266</v>
      </c>
      <c r="B49" s="12" t="s">
        <v>254</v>
      </c>
      <c r="C49" s="13"/>
      <c r="D49" s="13"/>
      <c r="E49" s="13"/>
      <c r="F49" s="13"/>
      <c r="G49" s="13"/>
      <c r="H49" s="13"/>
      <c r="I49" s="13"/>
      <c r="J49" s="13"/>
      <c r="K49" s="13"/>
      <c r="L49" s="13"/>
      <c r="M49" s="13"/>
      <c r="N49" s="13"/>
      <c r="O49" s="13"/>
      <c r="P49" s="13"/>
      <c r="Q49" s="13"/>
      <c r="R49" s="13"/>
      <c r="S49" s="13"/>
      <c r="T49" s="13"/>
      <c r="U49" s="13"/>
    </row>
    <row r="50" spans="1:21" x14ac:dyDescent="0.2">
      <c r="A50" s="11" t="s">
        <v>259</v>
      </c>
      <c r="B50" s="12"/>
      <c r="C50" s="13"/>
      <c r="D50" s="13"/>
      <c r="E50" s="13"/>
      <c r="F50" s="13"/>
      <c r="G50" s="13"/>
      <c r="H50" s="13"/>
      <c r="I50" s="13"/>
      <c r="J50" s="13"/>
      <c r="K50" s="13"/>
      <c r="L50" s="13"/>
      <c r="M50" s="13"/>
      <c r="N50" s="13"/>
      <c r="O50" s="13"/>
      <c r="P50" s="13"/>
      <c r="Q50" s="13"/>
      <c r="R50" s="13"/>
      <c r="S50" s="13"/>
      <c r="T50" s="13"/>
      <c r="U50" s="13"/>
    </row>
    <row r="51" spans="1:21" x14ac:dyDescent="0.2">
      <c r="A51" s="11" t="s">
        <v>267</v>
      </c>
      <c r="B51" s="12" t="s">
        <v>255</v>
      </c>
      <c r="C51" s="13"/>
      <c r="D51" s="13"/>
      <c r="E51" s="13"/>
      <c r="F51" s="13"/>
      <c r="G51" s="13"/>
      <c r="H51" s="13"/>
      <c r="I51" s="13"/>
      <c r="J51" s="13"/>
      <c r="K51" s="13"/>
      <c r="L51" s="13"/>
      <c r="M51" s="13"/>
      <c r="N51" s="13"/>
      <c r="O51" s="13"/>
      <c r="P51" s="13"/>
      <c r="Q51" s="13"/>
      <c r="R51" s="13"/>
      <c r="S51" s="13"/>
      <c r="T51" s="13"/>
      <c r="U51" s="13"/>
    </row>
    <row r="52" spans="1:21" x14ac:dyDescent="0.2">
      <c r="A52" s="11" t="s">
        <v>260</v>
      </c>
      <c r="B52" s="13"/>
      <c r="C52" s="13"/>
      <c r="D52" s="13"/>
      <c r="E52" s="13"/>
      <c r="F52" s="13"/>
      <c r="G52" s="13"/>
      <c r="H52" s="13"/>
      <c r="I52" s="13"/>
      <c r="J52" s="13"/>
      <c r="K52" s="13"/>
      <c r="L52" s="13"/>
      <c r="M52" s="13"/>
      <c r="N52" s="13"/>
      <c r="O52" s="13"/>
      <c r="P52" s="13"/>
      <c r="Q52" s="13"/>
      <c r="R52" s="13"/>
      <c r="S52" s="13"/>
      <c r="T52" s="13"/>
      <c r="U52" s="13"/>
    </row>
    <row r="53" spans="1:21" x14ac:dyDescent="0.2">
      <c r="A53" s="11" t="s">
        <v>268</v>
      </c>
      <c r="B53" s="12" t="s">
        <v>256</v>
      </c>
      <c r="C53" s="13"/>
      <c r="D53" s="13"/>
      <c r="E53" s="13"/>
      <c r="F53" s="13"/>
      <c r="G53" s="13"/>
      <c r="H53" s="13"/>
      <c r="I53" s="13"/>
      <c r="J53" s="13"/>
      <c r="K53" s="13"/>
      <c r="L53" s="13"/>
      <c r="M53" s="13"/>
      <c r="N53" s="13"/>
      <c r="O53" s="13"/>
      <c r="P53" s="13"/>
      <c r="Q53" s="13"/>
      <c r="R53" s="13"/>
      <c r="S53" s="13"/>
      <c r="T53" s="13"/>
      <c r="U53" s="13"/>
    </row>
    <row r="54" spans="1:21" x14ac:dyDescent="0.2">
      <c r="A54" s="11" t="s">
        <v>261</v>
      </c>
      <c r="B54" s="12"/>
      <c r="C54" s="13"/>
      <c r="D54" s="13"/>
      <c r="E54" s="13"/>
      <c r="F54" s="13"/>
      <c r="G54" s="13"/>
      <c r="H54" s="13"/>
      <c r="I54" s="13"/>
      <c r="J54" s="13"/>
      <c r="K54" s="13"/>
      <c r="L54" s="13"/>
      <c r="M54" s="13"/>
      <c r="N54" s="13"/>
      <c r="O54" s="13"/>
      <c r="P54" s="13"/>
      <c r="Q54" s="13"/>
      <c r="R54" s="13"/>
      <c r="S54" s="13"/>
      <c r="T54" s="13"/>
      <c r="U54" s="13"/>
    </row>
    <row r="55" spans="1:21" x14ac:dyDescent="0.2">
      <c r="A55" s="11" t="s">
        <v>269</v>
      </c>
      <c r="B55" s="12" t="s">
        <v>257</v>
      </c>
      <c r="C55" s="13"/>
      <c r="D55" s="13"/>
      <c r="E55" s="13"/>
      <c r="F55" s="13"/>
      <c r="G55" s="13"/>
      <c r="H55" s="13"/>
      <c r="I55" s="13"/>
      <c r="J55" s="13"/>
      <c r="K55" s="13"/>
      <c r="L55" s="13"/>
      <c r="M55" s="13"/>
      <c r="N55" s="13"/>
      <c r="O55" s="13"/>
      <c r="P55" s="13"/>
      <c r="Q55" s="13"/>
      <c r="R55" s="13"/>
      <c r="S55" s="13"/>
      <c r="T55" s="13"/>
      <c r="U55" s="13"/>
    </row>
    <row r="56" spans="1:21" x14ac:dyDescent="0.2">
      <c r="A56" s="11" t="s">
        <v>262</v>
      </c>
      <c r="B56" s="12"/>
      <c r="C56" s="13"/>
      <c r="D56" s="13"/>
      <c r="E56" s="13"/>
      <c r="F56" s="13"/>
      <c r="G56" s="13"/>
      <c r="H56" s="13"/>
      <c r="I56" s="13"/>
      <c r="J56" s="13"/>
      <c r="K56" s="13"/>
      <c r="L56" s="13"/>
      <c r="M56" s="13"/>
      <c r="N56" s="13"/>
      <c r="O56" s="13"/>
      <c r="P56" s="13"/>
      <c r="Q56" s="13"/>
      <c r="R56" s="13"/>
      <c r="S56" s="13"/>
      <c r="T56" s="13"/>
      <c r="U56" s="13"/>
    </row>
    <row r="57" spans="1:21" x14ac:dyDescent="0.2">
      <c r="A57" s="863" t="s">
        <v>114</v>
      </c>
      <c r="B57" s="863"/>
      <c r="C57" s="13"/>
      <c r="D57" s="13"/>
      <c r="E57" s="13"/>
      <c r="F57" s="13"/>
      <c r="G57" s="13"/>
      <c r="H57" s="13"/>
      <c r="I57" s="13"/>
      <c r="J57" s="13"/>
      <c r="K57" s="13"/>
      <c r="L57" s="13"/>
      <c r="M57" s="13"/>
      <c r="N57" s="13"/>
      <c r="O57" s="13"/>
      <c r="P57" s="13"/>
      <c r="Q57" s="13"/>
      <c r="R57" s="13"/>
      <c r="S57" s="13"/>
      <c r="T57" s="13"/>
      <c r="U57" s="13"/>
    </row>
    <row r="58" spans="1:21" x14ac:dyDescent="0.2">
      <c r="A58" s="860" t="s">
        <v>271</v>
      </c>
      <c r="B58" s="861"/>
      <c r="C58" s="861"/>
      <c r="D58" s="861"/>
      <c r="E58" s="861"/>
      <c r="F58" s="861"/>
      <c r="G58" s="861"/>
      <c r="H58" s="861"/>
      <c r="I58" s="861"/>
      <c r="J58" s="861"/>
      <c r="K58" s="861"/>
      <c r="L58" s="861"/>
      <c r="M58" s="861"/>
      <c r="N58" s="861"/>
      <c r="O58" s="861"/>
      <c r="P58" s="861"/>
      <c r="Q58" s="861"/>
      <c r="R58" s="861"/>
      <c r="S58" s="861"/>
      <c r="T58" s="861"/>
      <c r="U58" s="862"/>
    </row>
    <row r="59" spans="1:21" x14ac:dyDescent="0.2">
      <c r="A59" s="11" t="s">
        <v>265</v>
      </c>
      <c r="B59" s="12" t="s">
        <v>253</v>
      </c>
      <c r="C59" s="13"/>
      <c r="D59" s="13"/>
      <c r="E59" s="13"/>
      <c r="F59" s="13"/>
      <c r="G59" s="13"/>
      <c r="H59" s="13"/>
      <c r="I59" s="13"/>
      <c r="J59" s="13"/>
      <c r="K59" s="13"/>
      <c r="L59" s="13"/>
      <c r="M59" s="13"/>
      <c r="N59" s="13"/>
      <c r="O59" s="13"/>
      <c r="P59" s="13"/>
      <c r="Q59" s="13"/>
      <c r="R59" s="13"/>
      <c r="S59" s="13"/>
      <c r="T59" s="13"/>
      <c r="U59" s="13"/>
    </row>
    <row r="60" spans="1:21" x14ac:dyDescent="0.2">
      <c r="A60" s="11" t="s">
        <v>258</v>
      </c>
      <c r="B60" s="12"/>
      <c r="C60" s="13"/>
      <c r="D60" s="13"/>
      <c r="E60" s="13"/>
      <c r="F60" s="13"/>
      <c r="G60" s="13"/>
      <c r="H60" s="13"/>
      <c r="I60" s="13"/>
      <c r="J60" s="13"/>
      <c r="K60" s="13"/>
      <c r="L60" s="13"/>
      <c r="M60" s="13"/>
      <c r="N60" s="13"/>
      <c r="O60" s="13"/>
      <c r="P60" s="13"/>
      <c r="Q60" s="13"/>
      <c r="R60" s="13"/>
      <c r="S60" s="13"/>
      <c r="T60" s="13"/>
      <c r="U60" s="13"/>
    </row>
    <row r="61" spans="1:21" x14ac:dyDescent="0.2">
      <c r="A61" s="11" t="s">
        <v>266</v>
      </c>
      <c r="B61" s="12" t="s">
        <v>254</v>
      </c>
      <c r="C61" s="13"/>
      <c r="D61" s="13"/>
      <c r="E61" s="13"/>
      <c r="F61" s="13"/>
      <c r="G61" s="13"/>
      <c r="H61" s="13"/>
      <c r="I61" s="13"/>
      <c r="J61" s="13"/>
      <c r="K61" s="13"/>
      <c r="L61" s="13"/>
      <c r="M61" s="13"/>
      <c r="N61" s="13"/>
      <c r="O61" s="13"/>
      <c r="P61" s="13"/>
      <c r="Q61" s="13"/>
      <c r="R61" s="13"/>
      <c r="S61" s="13"/>
      <c r="T61" s="13"/>
      <c r="U61" s="13"/>
    </row>
    <row r="62" spans="1:21" x14ac:dyDescent="0.2">
      <c r="A62" s="11" t="s">
        <v>259</v>
      </c>
      <c r="B62" s="12"/>
      <c r="C62" s="13"/>
      <c r="D62" s="13"/>
      <c r="E62" s="13"/>
      <c r="F62" s="13"/>
      <c r="G62" s="13"/>
      <c r="H62" s="13"/>
      <c r="I62" s="13"/>
      <c r="J62" s="13"/>
      <c r="K62" s="13"/>
      <c r="L62" s="13"/>
      <c r="M62" s="13"/>
      <c r="N62" s="13"/>
      <c r="O62" s="13"/>
      <c r="P62" s="13"/>
      <c r="Q62" s="13"/>
      <c r="R62" s="13"/>
      <c r="S62" s="13"/>
      <c r="T62" s="13"/>
      <c r="U62" s="13"/>
    </row>
    <row r="63" spans="1:21" x14ac:dyDescent="0.2">
      <c r="A63" s="11" t="s">
        <v>267</v>
      </c>
      <c r="B63" s="12" t="s">
        <v>255</v>
      </c>
      <c r="C63" s="13"/>
      <c r="D63" s="13"/>
      <c r="E63" s="13"/>
      <c r="F63" s="13"/>
      <c r="G63" s="13"/>
      <c r="H63" s="13"/>
      <c r="I63" s="13"/>
      <c r="J63" s="13"/>
      <c r="K63" s="13"/>
      <c r="L63" s="13"/>
      <c r="M63" s="13"/>
      <c r="N63" s="13"/>
      <c r="O63" s="13"/>
      <c r="P63" s="13"/>
      <c r="Q63" s="13"/>
      <c r="R63" s="13"/>
      <c r="S63" s="13"/>
      <c r="T63" s="13"/>
      <c r="U63" s="13"/>
    </row>
    <row r="64" spans="1:21" x14ac:dyDescent="0.2">
      <c r="A64" s="11" t="s">
        <v>260</v>
      </c>
      <c r="B64" s="13"/>
      <c r="C64" s="13"/>
      <c r="D64" s="13"/>
      <c r="E64" s="13"/>
      <c r="F64" s="13"/>
      <c r="G64" s="13"/>
      <c r="H64" s="13"/>
      <c r="I64" s="13"/>
      <c r="J64" s="13"/>
      <c r="K64" s="13"/>
      <c r="L64" s="13"/>
      <c r="M64" s="13"/>
      <c r="N64" s="13"/>
      <c r="O64" s="13"/>
      <c r="P64" s="13"/>
      <c r="Q64" s="13"/>
      <c r="R64" s="13"/>
      <c r="S64" s="13"/>
      <c r="T64" s="13"/>
      <c r="U64" s="13"/>
    </row>
    <row r="65" spans="1:21" x14ac:dyDescent="0.2">
      <c r="A65" s="11" t="s">
        <v>268</v>
      </c>
      <c r="B65" s="12" t="s">
        <v>256</v>
      </c>
      <c r="C65" s="13"/>
      <c r="D65" s="13"/>
      <c r="E65" s="13"/>
      <c r="F65" s="13"/>
      <c r="G65" s="13"/>
      <c r="H65" s="13"/>
      <c r="I65" s="13"/>
      <c r="J65" s="13"/>
      <c r="K65" s="13"/>
      <c r="L65" s="13"/>
      <c r="M65" s="13"/>
      <c r="N65" s="13"/>
      <c r="O65" s="13"/>
      <c r="P65" s="13"/>
      <c r="Q65" s="13"/>
      <c r="R65" s="13"/>
      <c r="S65" s="13"/>
      <c r="T65" s="13"/>
      <c r="U65" s="13"/>
    </row>
    <row r="66" spans="1:21" x14ac:dyDescent="0.2">
      <c r="A66" s="11" t="s">
        <v>261</v>
      </c>
      <c r="B66" s="12"/>
      <c r="C66" s="13"/>
      <c r="D66" s="13"/>
      <c r="E66" s="13"/>
      <c r="F66" s="13"/>
      <c r="G66" s="13"/>
      <c r="H66" s="13"/>
      <c r="I66" s="13"/>
      <c r="J66" s="13"/>
      <c r="K66" s="13"/>
      <c r="L66" s="13"/>
      <c r="M66" s="13"/>
      <c r="N66" s="13"/>
      <c r="O66" s="13"/>
      <c r="P66" s="13"/>
      <c r="Q66" s="13"/>
      <c r="R66" s="13"/>
      <c r="S66" s="13"/>
      <c r="T66" s="13"/>
      <c r="U66" s="13"/>
    </row>
    <row r="67" spans="1:21" x14ac:dyDescent="0.2">
      <c r="A67" s="11" t="s">
        <v>269</v>
      </c>
      <c r="B67" s="12" t="s">
        <v>257</v>
      </c>
      <c r="C67" s="13"/>
      <c r="D67" s="13"/>
      <c r="E67" s="13"/>
      <c r="F67" s="13"/>
      <c r="G67" s="13"/>
      <c r="H67" s="13"/>
      <c r="I67" s="13"/>
      <c r="J67" s="13"/>
      <c r="K67" s="13"/>
      <c r="L67" s="13"/>
      <c r="M67" s="13"/>
      <c r="N67" s="13"/>
      <c r="O67" s="13"/>
      <c r="P67" s="13"/>
      <c r="Q67" s="13"/>
      <c r="R67" s="13"/>
      <c r="S67" s="13"/>
      <c r="T67" s="13"/>
      <c r="U67" s="13"/>
    </row>
    <row r="68" spans="1:21" x14ac:dyDescent="0.2">
      <c r="A68" s="11" t="s">
        <v>262</v>
      </c>
      <c r="B68" s="12"/>
      <c r="C68" s="13"/>
      <c r="D68" s="13"/>
      <c r="E68" s="13"/>
      <c r="F68" s="13"/>
      <c r="G68" s="13"/>
      <c r="H68" s="13"/>
      <c r="I68" s="13"/>
      <c r="J68" s="13"/>
      <c r="K68" s="13"/>
      <c r="L68" s="13"/>
      <c r="M68" s="13"/>
      <c r="N68" s="13"/>
      <c r="O68" s="13"/>
      <c r="P68" s="13"/>
      <c r="Q68" s="13"/>
      <c r="R68" s="13"/>
      <c r="S68" s="13"/>
      <c r="T68" s="13"/>
      <c r="U68" s="13"/>
    </row>
    <row r="69" spans="1:21" x14ac:dyDescent="0.2">
      <c r="A69" s="863" t="s">
        <v>114</v>
      </c>
      <c r="B69" s="863"/>
      <c r="C69" s="13"/>
      <c r="D69" s="13"/>
      <c r="E69" s="13"/>
      <c r="F69" s="13"/>
      <c r="G69" s="13"/>
      <c r="H69" s="13"/>
      <c r="I69" s="13"/>
      <c r="J69" s="13"/>
      <c r="K69" s="13"/>
      <c r="L69" s="13"/>
      <c r="M69" s="13"/>
      <c r="N69" s="13"/>
      <c r="O69" s="13"/>
      <c r="P69" s="13"/>
      <c r="Q69" s="13"/>
      <c r="R69" s="13"/>
      <c r="S69" s="13"/>
      <c r="T69" s="13"/>
      <c r="U69" s="13"/>
    </row>
    <row r="70" spans="1:21" x14ac:dyDescent="0.2">
      <c r="A70" s="860" t="s">
        <v>273</v>
      </c>
      <c r="B70" s="861"/>
      <c r="C70" s="861"/>
      <c r="D70" s="861"/>
      <c r="E70" s="861"/>
      <c r="F70" s="861"/>
      <c r="G70" s="861"/>
      <c r="H70" s="861"/>
      <c r="I70" s="861"/>
      <c r="J70" s="861"/>
      <c r="K70" s="861"/>
      <c r="L70" s="861"/>
      <c r="M70" s="861"/>
      <c r="N70" s="861"/>
      <c r="O70" s="861"/>
      <c r="P70" s="861"/>
      <c r="Q70" s="861"/>
      <c r="R70" s="861"/>
      <c r="S70" s="861"/>
      <c r="T70" s="861"/>
      <c r="U70" s="862"/>
    </row>
    <row r="71" spans="1:21" x14ac:dyDescent="0.2">
      <c r="A71" s="11" t="s">
        <v>265</v>
      </c>
      <c r="B71" s="12" t="s">
        <v>253</v>
      </c>
      <c r="C71" s="13"/>
      <c r="D71" s="13"/>
      <c r="E71" s="13"/>
      <c r="F71" s="13"/>
      <c r="G71" s="13"/>
      <c r="H71" s="13"/>
      <c r="I71" s="13"/>
      <c r="J71" s="13"/>
      <c r="K71" s="13"/>
      <c r="L71" s="13"/>
      <c r="M71" s="13"/>
      <c r="N71" s="13"/>
      <c r="O71" s="13"/>
      <c r="P71" s="13"/>
      <c r="Q71" s="13"/>
      <c r="R71" s="13"/>
      <c r="S71" s="13"/>
      <c r="T71" s="13"/>
      <c r="U71" s="13"/>
    </row>
    <row r="72" spans="1:21" x14ac:dyDescent="0.2">
      <c r="A72" s="11" t="s">
        <v>258</v>
      </c>
      <c r="B72" s="12"/>
      <c r="C72" s="13"/>
      <c r="D72" s="13"/>
      <c r="E72" s="13"/>
      <c r="F72" s="13"/>
      <c r="G72" s="13"/>
      <c r="H72" s="13"/>
      <c r="I72" s="13"/>
      <c r="J72" s="13"/>
      <c r="K72" s="13"/>
      <c r="L72" s="13"/>
      <c r="M72" s="13"/>
      <c r="N72" s="13"/>
      <c r="O72" s="13"/>
      <c r="P72" s="13"/>
      <c r="Q72" s="13"/>
      <c r="R72" s="13"/>
      <c r="S72" s="13"/>
      <c r="T72" s="13"/>
      <c r="U72" s="13"/>
    </row>
    <row r="73" spans="1:21" x14ac:dyDescent="0.2">
      <c r="A73" s="11" t="s">
        <v>266</v>
      </c>
      <c r="B73" s="12" t="s">
        <v>254</v>
      </c>
      <c r="C73" s="13"/>
      <c r="D73" s="13"/>
      <c r="E73" s="13"/>
      <c r="F73" s="13"/>
      <c r="G73" s="13"/>
      <c r="H73" s="13"/>
      <c r="I73" s="13"/>
      <c r="J73" s="13"/>
      <c r="K73" s="13"/>
      <c r="L73" s="13"/>
      <c r="M73" s="13"/>
      <c r="N73" s="13"/>
      <c r="O73" s="13"/>
      <c r="P73" s="13"/>
      <c r="Q73" s="13"/>
      <c r="R73" s="13"/>
      <c r="S73" s="13"/>
      <c r="T73" s="13"/>
      <c r="U73" s="13"/>
    </row>
    <row r="74" spans="1:21" x14ac:dyDescent="0.2">
      <c r="A74" s="11" t="s">
        <v>259</v>
      </c>
      <c r="B74" s="12"/>
      <c r="C74" s="13"/>
      <c r="D74" s="13"/>
      <c r="E74" s="13"/>
      <c r="F74" s="13"/>
      <c r="G74" s="13"/>
      <c r="H74" s="13"/>
      <c r="I74" s="13"/>
      <c r="J74" s="13"/>
      <c r="K74" s="13"/>
      <c r="L74" s="13"/>
      <c r="M74" s="13"/>
      <c r="N74" s="13"/>
      <c r="O74" s="13"/>
      <c r="P74" s="13"/>
      <c r="Q74" s="13"/>
      <c r="R74" s="13"/>
      <c r="S74" s="13"/>
      <c r="T74" s="13"/>
      <c r="U74" s="13"/>
    </row>
    <row r="75" spans="1:21" x14ac:dyDescent="0.2">
      <c r="A75" s="11" t="s">
        <v>267</v>
      </c>
      <c r="B75" s="12" t="s">
        <v>255</v>
      </c>
      <c r="C75" s="13"/>
      <c r="D75" s="13"/>
      <c r="E75" s="13"/>
      <c r="F75" s="13"/>
      <c r="G75" s="13"/>
      <c r="H75" s="13"/>
      <c r="I75" s="13"/>
      <c r="J75" s="13"/>
      <c r="K75" s="13"/>
      <c r="L75" s="13"/>
      <c r="M75" s="13"/>
      <c r="N75" s="13"/>
      <c r="O75" s="13"/>
      <c r="P75" s="13"/>
      <c r="Q75" s="13"/>
      <c r="R75" s="13"/>
      <c r="S75" s="13"/>
      <c r="T75" s="13"/>
      <c r="U75" s="13"/>
    </row>
    <row r="76" spans="1:21" x14ac:dyDescent="0.2">
      <c r="A76" s="11" t="s">
        <v>260</v>
      </c>
      <c r="B76" s="13"/>
      <c r="C76" s="13"/>
      <c r="D76" s="13"/>
      <c r="E76" s="13"/>
      <c r="F76" s="13"/>
      <c r="G76" s="13"/>
      <c r="H76" s="13"/>
      <c r="I76" s="13"/>
      <c r="J76" s="13"/>
      <c r="K76" s="13"/>
      <c r="L76" s="13"/>
      <c r="M76" s="13"/>
      <c r="N76" s="13"/>
      <c r="O76" s="13"/>
      <c r="P76" s="13"/>
      <c r="Q76" s="13"/>
      <c r="R76" s="13"/>
      <c r="S76" s="13"/>
      <c r="T76" s="13"/>
      <c r="U76" s="13"/>
    </row>
    <row r="77" spans="1:21" x14ac:dyDescent="0.2">
      <c r="A77" s="11" t="s">
        <v>268</v>
      </c>
      <c r="B77" s="12" t="s">
        <v>256</v>
      </c>
      <c r="C77" s="13"/>
      <c r="D77" s="13"/>
      <c r="E77" s="13"/>
      <c r="F77" s="13"/>
      <c r="G77" s="13"/>
      <c r="H77" s="13"/>
      <c r="I77" s="13"/>
      <c r="J77" s="13"/>
      <c r="K77" s="13"/>
      <c r="L77" s="13"/>
      <c r="M77" s="13"/>
      <c r="N77" s="13"/>
      <c r="O77" s="13"/>
      <c r="P77" s="13"/>
      <c r="Q77" s="13"/>
      <c r="R77" s="13"/>
      <c r="S77" s="13"/>
      <c r="T77" s="13"/>
      <c r="U77" s="13"/>
    </row>
    <row r="78" spans="1:21" x14ac:dyDescent="0.2">
      <c r="A78" s="11" t="s">
        <v>261</v>
      </c>
      <c r="B78" s="12"/>
      <c r="C78" s="13"/>
      <c r="D78" s="13"/>
      <c r="E78" s="13"/>
      <c r="F78" s="13"/>
      <c r="G78" s="13"/>
      <c r="H78" s="13"/>
      <c r="I78" s="13"/>
      <c r="J78" s="13"/>
      <c r="K78" s="13"/>
      <c r="L78" s="13"/>
      <c r="M78" s="13"/>
      <c r="N78" s="13"/>
      <c r="O78" s="13"/>
      <c r="P78" s="13"/>
      <c r="Q78" s="13"/>
      <c r="R78" s="13"/>
      <c r="S78" s="13"/>
      <c r="T78" s="13"/>
      <c r="U78" s="13"/>
    </row>
    <row r="79" spans="1:21" x14ac:dyDescent="0.2">
      <c r="A79" s="11" t="s">
        <v>269</v>
      </c>
      <c r="B79" s="12" t="s">
        <v>257</v>
      </c>
      <c r="C79" s="13"/>
      <c r="D79" s="13"/>
      <c r="E79" s="13"/>
      <c r="F79" s="13"/>
      <c r="G79" s="13"/>
      <c r="H79" s="13"/>
      <c r="I79" s="13"/>
      <c r="J79" s="13"/>
      <c r="K79" s="13"/>
      <c r="L79" s="13"/>
      <c r="M79" s="13"/>
      <c r="N79" s="13"/>
      <c r="O79" s="13"/>
      <c r="P79" s="13"/>
      <c r="Q79" s="13"/>
      <c r="R79" s="13"/>
      <c r="S79" s="13"/>
      <c r="T79" s="13"/>
      <c r="U79" s="13"/>
    </row>
    <row r="80" spans="1:21" x14ac:dyDescent="0.2">
      <c r="A80" s="11" t="s">
        <v>262</v>
      </c>
      <c r="B80" s="12"/>
      <c r="C80" s="13"/>
      <c r="D80" s="13"/>
      <c r="E80" s="13"/>
      <c r="F80" s="13"/>
      <c r="G80" s="13"/>
      <c r="H80" s="13"/>
      <c r="I80" s="13"/>
      <c r="J80" s="13"/>
      <c r="K80" s="13"/>
      <c r="L80" s="13"/>
      <c r="M80" s="13"/>
      <c r="N80" s="13"/>
      <c r="O80" s="13"/>
      <c r="P80" s="13"/>
      <c r="Q80" s="13"/>
      <c r="R80" s="13"/>
      <c r="S80" s="13"/>
      <c r="T80" s="13"/>
      <c r="U80" s="13"/>
    </row>
    <row r="81" spans="1:21" x14ac:dyDescent="0.2">
      <c r="A81" s="863" t="s">
        <v>114</v>
      </c>
      <c r="B81" s="863"/>
      <c r="C81" s="13"/>
      <c r="D81" s="13"/>
      <c r="E81" s="13"/>
      <c r="F81" s="13"/>
      <c r="G81" s="13"/>
      <c r="H81" s="13"/>
      <c r="I81" s="13"/>
      <c r="J81" s="13"/>
      <c r="K81" s="13"/>
      <c r="L81" s="13"/>
      <c r="M81" s="13"/>
      <c r="N81" s="13"/>
      <c r="O81" s="13"/>
      <c r="P81" s="13"/>
      <c r="Q81" s="13"/>
      <c r="R81" s="13"/>
      <c r="S81" s="13"/>
      <c r="T81" s="13"/>
      <c r="U81" s="13"/>
    </row>
    <row r="82" spans="1:21" x14ac:dyDescent="0.2">
      <c r="A82" s="860" t="s">
        <v>274</v>
      </c>
      <c r="B82" s="861"/>
      <c r="C82" s="861"/>
      <c r="D82" s="861"/>
      <c r="E82" s="861"/>
      <c r="F82" s="861"/>
      <c r="G82" s="861"/>
      <c r="H82" s="861"/>
      <c r="I82" s="861"/>
      <c r="J82" s="861"/>
      <c r="K82" s="861"/>
      <c r="L82" s="861"/>
      <c r="M82" s="861"/>
      <c r="N82" s="861"/>
      <c r="O82" s="861"/>
      <c r="P82" s="861"/>
      <c r="Q82" s="861"/>
      <c r="R82" s="861"/>
      <c r="S82" s="861"/>
      <c r="T82" s="861"/>
      <c r="U82" s="862"/>
    </row>
    <row r="83" spans="1:21" x14ac:dyDescent="0.2">
      <c r="A83" s="11" t="s">
        <v>265</v>
      </c>
      <c r="B83" s="12" t="s">
        <v>253</v>
      </c>
      <c r="C83" s="13"/>
      <c r="D83" s="13"/>
      <c r="E83" s="13"/>
      <c r="F83" s="13"/>
      <c r="G83" s="13"/>
      <c r="H83" s="13"/>
      <c r="I83" s="13"/>
      <c r="J83" s="13"/>
      <c r="K83" s="13"/>
      <c r="L83" s="13"/>
      <c r="M83" s="13"/>
      <c r="N83" s="13"/>
      <c r="O83" s="13"/>
      <c r="P83" s="13"/>
      <c r="Q83" s="13"/>
      <c r="R83" s="13"/>
      <c r="S83" s="13"/>
      <c r="T83" s="13"/>
      <c r="U83" s="13"/>
    </row>
    <row r="84" spans="1:21" x14ac:dyDescent="0.2">
      <c r="A84" s="11" t="s">
        <v>258</v>
      </c>
      <c r="B84" s="12"/>
      <c r="C84" s="13"/>
      <c r="D84" s="13"/>
      <c r="E84" s="13"/>
      <c r="F84" s="13"/>
      <c r="G84" s="13"/>
      <c r="H84" s="13"/>
      <c r="I84" s="13"/>
      <c r="J84" s="13"/>
      <c r="K84" s="13"/>
      <c r="L84" s="13"/>
      <c r="M84" s="13"/>
      <c r="N84" s="13"/>
      <c r="O84" s="13"/>
      <c r="P84" s="13"/>
      <c r="Q84" s="13"/>
      <c r="R84" s="13"/>
      <c r="S84" s="13"/>
      <c r="T84" s="13"/>
      <c r="U84" s="13"/>
    </row>
    <row r="85" spans="1:21" x14ac:dyDescent="0.2">
      <c r="A85" s="11" t="s">
        <v>266</v>
      </c>
      <c r="B85" s="12" t="s">
        <v>254</v>
      </c>
      <c r="C85" s="13"/>
      <c r="D85" s="13"/>
      <c r="E85" s="13"/>
      <c r="F85" s="13"/>
      <c r="G85" s="13"/>
      <c r="H85" s="13"/>
      <c r="I85" s="13"/>
      <c r="J85" s="13"/>
      <c r="K85" s="13"/>
      <c r="L85" s="13"/>
      <c r="M85" s="13"/>
      <c r="N85" s="13"/>
      <c r="O85" s="13"/>
      <c r="P85" s="13"/>
      <c r="Q85" s="13"/>
      <c r="R85" s="13"/>
      <c r="S85" s="13"/>
      <c r="T85" s="13"/>
      <c r="U85" s="13"/>
    </row>
    <row r="86" spans="1:21" x14ac:dyDescent="0.2">
      <c r="A86" s="11" t="s">
        <v>259</v>
      </c>
      <c r="B86" s="12"/>
      <c r="C86" s="13"/>
      <c r="D86" s="13"/>
      <c r="E86" s="13"/>
      <c r="F86" s="13"/>
      <c r="G86" s="13"/>
      <c r="H86" s="13"/>
      <c r="I86" s="13"/>
      <c r="J86" s="13"/>
      <c r="K86" s="13"/>
      <c r="L86" s="13"/>
      <c r="M86" s="13"/>
      <c r="N86" s="13"/>
      <c r="O86" s="13"/>
      <c r="P86" s="13"/>
      <c r="Q86" s="13"/>
      <c r="R86" s="13"/>
      <c r="S86" s="13"/>
      <c r="T86" s="13"/>
      <c r="U86" s="13"/>
    </row>
    <row r="87" spans="1:21" x14ac:dyDescent="0.2">
      <c r="A87" s="11" t="s">
        <v>267</v>
      </c>
      <c r="B87" s="12" t="s">
        <v>255</v>
      </c>
      <c r="C87" s="13"/>
      <c r="D87" s="13"/>
      <c r="E87" s="13"/>
      <c r="F87" s="13"/>
      <c r="G87" s="13"/>
      <c r="H87" s="13"/>
      <c r="I87" s="13"/>
      <c r="J87" s="13"/>
      <c r="K87" s="13"/>
      <c r="L87" s="13"/>
      <c r="M87" s="13"/>
      <c r="N87" s="13"/>
      <c r="O87" s="13"/>
      <c r="P87" s="13"/>
      <c r="Q87" s="13"/>
      <c r="R87" s="13"/>
      <c r="S87" s="13"/>
      <c r="T87" s="13"/>
      <c r="U87" s="13"/>
    </row>
    <row r="88" spans="1:21" x14ac:dyDescent="0.2">
      <c r="A88" s="11" t="s">
        <v>260</v>
      </c>
      <c r="B88" s="13"/>
      <c r="C88" s="13"/>
      <c r="D88" s="13"/>
      <c r="E88" s="13"/>
      <c r="F88" s="13"/>
      <c r="G88" s="13"/>
      <c r="H88" s="13"/>
      <c r="I88" s="13"/>
      <c r="J88" s="13"/>
      <c r="K88" s="13"/>
      <c r="L88" s="13"/>
      <c r="M88" s="13"/>
      <c r="N88" s="13"/>
      <c r="O88" s="13"/>
      <c r="P88" s="13"/>
      <c r="Q88" s="13"/>
      <c r="R88" s="13"/>
      <c r="S88" s="13"/>
      <c r="T88" s="13"/>
      <c r="U88" s="13"/>
    </row>
    <row r="89" spans="1:21" x14ac:dyDescent="0.2">
      <c r="A89" s="11" t="s">
        <v>268</v>
      </c>
      <c r="B89" s="12" t="s">
        <v>256</v>
      </c>
      <c r="C89" s="13"/>
      <c r="D89" s="13"/>
      <c r="E89" s="13"/>
      <c r="F89" s="13"/>
      <c r="G89" s="13"/>
      <c r="H89" s="13"/>
      <c r="I89" s="13"/>
      <c r="J89" s="13"/>
      <c r="K89" s="13"/>
      <c r="L89" s="13"/>
      <c r="M89" s="13"/>
      <c r="N89" s="13"/>
      <c r="O89" s="13"/>
      <c r="P89" s="13"/>
      <c r="Q89" s="13"/>
      <c r="R89" s="13"/>
      <c r="S89" s="13"/>
      <c r="T89" s="13"/>
      <c r="U89" s="13"/>
    </row>
    <row r="90" spans="1:21" x14ac:dyDescent="0.2">
      <c r="A90" s="11" t="s">
        <v>261</v>
      </c>
      <c r="B90" s="12"/>
      <c r="C90" s="13"/>
      <c r="D90" s="13"/>
      <c r="E90" s="13"/>
      <c r="F90" s="13"/>
      <c r="G90" s="13"/>
      <c r="H90" s="13"/>
      <c r="I90" s="13"/>
      <c r="J90" s="13"/>
      <c r="K90" s="13"/>
      <c r="L90" s="13"/>
      <c r="M90" s="13"/>
      <c r="N90" s="13"/>
      <c r="O90" s="13"/>
      <c r="P90" s="13"/>
      <c r="Q90" s="13"/>
      <c r="R90" s="13"/>
      <c r="S90" s="13"/>
      <c r="T90" s="13"/>
      <c r="U90" s="13"/>
    </row>
    <row r="91" spans="1:21" x14ac:dyDescent="0.2">
      <c r="A91" s="11" t="s">
        <v>269</v>
      </c>
      <c r="B91" s="12" t="s">
        <v>257</v>
      </c>
      <c r="C91" s="13"/>
      <c r="D91" s="13"/>
      <c r="E91" s="13"/>
      <c r="F91" s="13"/>
      <c r="G91" s="13"/>
      <c r="H91" s="13"/>
      <c r="I91" s="13"/>
      <c r="J91" s="13"/>
      <c r="K91" s="13"/>
      <c r="L91" s="13"/>
      <c r="M91" s="13"/>
      <c r="N91" s="13"/>
      <c r="O91" s="13"/>
      <c r="P91" s="13"/>
      <c r="Q91" s="13"/>
      <c r="R91" s="13"/>
      <c r="S91" s="13"/>
      <c r="T91" s="13"/>
      <c r="U91" s="13"/>
    </row>
    <row r="92" spans="1:21" x14ac:dyDescent="0.2">
      <c r="A92" s="11" t="s">
        <v>262</v>
      </c>
      <c r="B92" s="12"/>
      <c r="C92" s="13"/>
      <c r="D92" s="13"/>
      <c r="E92" s="13"/>
      <c r="F92" s="13"/>
      <c r="G92" s="13"/>
      <c r="H92" s="13"/>
      <c r="I92" s="13"/>
      <c r="J92" s="13"/>
      <c r="K92" s="13"/>
      <c r="L92" s="13"/>
      <c r="M92" s="13"/>
      <c r="N92" s="13"/>
      <c r="O92" s="13"/>
      <c r="P92" s="13"/>
      <c r="Q92" s="13"/>
      <c r="R92" s="13"/>
      <c r="S92" s="13"/>
      <c r="T92" s="13"/>
      <c r="U92" s="13"/>
    </row>
    <row r="93" spans="1:21" x14ac:dyDescent="0.2">
      <c r="A93" s="863" t="s">
        <v>114</v>
      </c>
      <c r="B93" s="863"/>
      <c r="C93" s="13"/>
      <c r="D93" s="13"/>
      <c r="E93" s="13"/>
      <c r="F93" s="13"/>
      <c r="G93" s="13"/>
      <c r="H93" s="13"/>
      <c r="I93" s="13"/>
      <c r="J93" s="13"/>
      <c r="K93" s="13"/>
      <c r="L93" s="13"/>
      <c r="M93" s="13"/>
      <c r="N93" s="13"/>
      <c r="O93" s="13"/>
      <c r="P93" s="13"/>
      <c r="Q93" s="13"/>
      <c r="R93" s="13"/>
      <c r="S93" s="13"/>
      <c r="T93" s="13"/>
      <c r="U93" s="13"/>
    </row>
    <row r="94" spans="1:21" x14ac:dyDescent="0.2">
      <c r="A94" s="860" t="s">
        <v>275</v>
      </c>
      <c r="B94" s="861"/>
      <c r="C94" s="861"/>
      <c r="D94" s="861"/>
      <c r="E94" s="861"/>
      <c r="F94" s="861"/>
      <c r="G94" s="861"/>
      <c r="H94" s="861"/>
      <c r="I94" s="861"/>
      <c r="J94" s="861"/>
      <c r="K94" s="861"/>
      <c r="L94" s="861"/>
      <c r="M94" s="861"/>
      <c r="N94" s="861"/>
      <c r="O94" s="861"/>
      <c r="P94" s="861"/>
      <c r="Q94" s="861"/>
      <c r="R94" s="861"/>
      <c r="S94" s="861"/>
      <c r="T94" s="861"/>
      <c r="U94" s="862"/>
    </row>
    <row r="95" spans="1:21" x14ac:dyDescent="0.2">
      <c r="A95" s="11" t="s">
        <v>265</v>
      </c>
      <c r="B95" s="12" t="s">
        <v>253</v>
      </c>
      <c r="C95" s="13"/>
      <c r="D95" s="13"/>
      <c r="E95" s="13"/>
      <c r="F95" s="13"/>
      <c r="G95" s="13"/>
      <c r="H95" s="13"/>
      <c r="I95" s="13"/>
      <c r="J95" s="13"/>
      <c r="K95" s="13"/>
      <c r="L95" s="13"/>
      <c r="M95" s="13"/>
      <c r="N95" s="13"/>
      <c r="O95" s="13"/>
      <c r="P95" s="13"/>
      <c r="Q95" s="13"/>
      <c r="R95" s="13"/>
      <c r="S95" s="13"/>
      <c r="T95" s="13"/>
      <c r="U95" s="13"/>
    </row>
    <row r="96" spans="1:21" x14ac:dyDescent="0.2">
      <c r="A96" s="11" t="s">
        <v>258</v>
      </c>
      <c r="B96" s="12"/>
      <c r="C96" s="13"/>
      <c r="D96" s="13"/>
      <c r="E96" s="13"/>
      <c r="F96" s="13"/>
      <c r="G96" s="13"/>
      <c r="H96" s="13"/>
      <c r="I96" s="13"/>
      <c r="J96" s="13"/>
      <c r="K96" s="13"/>
      <c r="L96" s="13"/>
      <c r="M96" s="13"/>
      <c r="N96" s="13"/>
      <c r="O96" s="13"/>
      <c r="P96" s="13"/>
      <c r="Q96" s="13"/>
      <c r="R96" s="13"/>
      <c r="S96" s="13"/>
      <c r="T96" s="13"/>
      <c r="U96" s="13"/>
    </row>
    <row r="97" spans="1:21" x14ac:dyDescent="0.2">
      <c r="A97" s="11" t="s">
        <v>266</v>
      </c>
      <c r="B97" s="12" t="s">
        <v>254</v>
      </c>
      <c r="C97" s="13"/>
      <c r="D97" s="13"/>
      <c r="E97" s="13"/>
      <c r="F97" s="13"/>
      <c r="G97" s="13"/>
      <c r="H97" s="13"/>
      <c r="I97" s="13"/>
      <c r="J97" s="13"/>
      <c r="K97" s="13"/>
      <c r="L97" s="13"/>
      <c r="M97" s="13"/>
      <c r="N97" s="13"/>
      <c r="O97" s="13"/>
      <c r="P97" s="13"/>
      <c r="Q97" s="13"/>
      <c r="R97" s="13"/>
      <c r="S97" s="13"/>
      <c r="T97" s="13"/>
      <c r="U97" s="13"/>
    </row>
    <row r="98" spans="1:21" x14ac:dyDescent="0.2">
      <c r="A98" s="11" t="s">
        <v>259</v>
      </c>
      <c r="B98" s="12"/>
      <c r="C98" s="13"/>
      <c r="D98" s="13"/>
      <c r="E98" s="13"/>
      <c r="F98" s="13"/>
      <c r="G98" s="13"/>
      <c r="H98" s="13"/>
      <c r="I98" s="13"/>
      <c r="J98" s="13"/>
      <c r="K98" s="13"/>
      <c r="L98" s="13"/>
      <c r="M98" s="13"/>
      <c r="N98" s="13"/>
      <c r="O98" s="13"/>
      <c r="P98" s="13"/>
      <c r="Q98" s="13"/>
      <c r="R98" s="13"/>
      <c r="S98" s="13"/>
      <c r="T98" s="13"/>
      <c r="U98" s="13"/>
    </row>
    <row r="99" spans="1:21" x14ac:dyDescent="0.2">
      <c r="A99" s="11" t="s">
        <v>267</v>
      </c>
      <c r="B99" s="12" t="s">
        <v>255</v>
      </c>
      <c r="C99" s="13"/>
      <c r="D99" s="13"/>
      <c r="E99" s="13"/>
      <c r="F99" s="13"/>
      <c r="G99" s="13"/>
      <c r="H99" s="13"/>
      <c r="I99" s="13"/>
      <c r="J99" s="13"/>
      <c r="K99" s="13"/>
      <c r="L99" s="13"/>
      <c r="M99" s="13"/>
      <c r="N99" s="13"/>
      <c r="O99" s="13"/>
      <c r="P99" s="13"/>
      <c r="Q99" s="13"/>
      <c r="R99" s="13"/>
      <c r="S99" s="13"/>
      <c r="T99" s="13"/>
      <c r="U99" s="13"/>
    </row>
    <row r="100" spans="1:21" x14ac:dyDescent="0.2">
      <c r="A100" s="11" t="s">
        <v>260</v>
      </c>
      <c r="B100" s="13"/>
      <c r="C100" s="13"/>
      <c r="D100" s="13"/>
      <c r="E100" s="13"/>
      <c r="F100" s="13"/>
      <c r="G100" s="13"/>
      <c r="H100" s="13"/>
      <c r="I100" s="13"/>
      <c r="J100" s="13"/>
      <c r="K100" s="13"/>
      <c r="L100" s="13"/>
      <c r="M100" s="13"/>
      <c r="N100" s="13"/>
      <c r="O100" s="13"/>
      <c r="P100" s="13"/>
      <c r="Q100" s="13"/>
      <c r="R100" s="13"/>
      <c r="S100" s="13"/>
      <c r="T100" s="13"/>
      <c r="U100" s="13"/>
    </row>
    <row r="101" spans="1:21" x14ac:dyDescent="0.2">
      <c r="A101" s="11" t="s">
        <v>268</v>
      </c>
      <c r="B101" s="12" t="s">
        <v>256</v>
      </c>
      <c r="C101" s="13"/>
      <c r="D101" s="13"/>
      <c r="E101" s="13"/>
      <c r="F101" s="13"/>
      <c r="G101" s="13"/>
      <c r="H101" s="13"/>
      <c r="I101" s="13"/>
      <c r="J101" s="13"/>
      <c r="K101" s="13"/>
      <c r="L101" s="13"/>
      <c r="M101" s="13"/>
      <c r="N101" s="13"/>
      <c r="O101" s="13"/>
      <c r="P101" s="13"/>
      <c r="Q101" s="13"/>
      <c r="R101" s="13"/>
      <c r="S101" s="13"/>
      <c r="T101" s="13"/>
      <c r="U101" s="13"/>
    </row>
    <row r="102" spans="1:21" x14ac:dyDescent="0.2">
      <c r="A102" s="11" t="s">
        <v>261</v>
      </c>
      <c r="B102" s="12"/>
      <c r="C102" s="13"/>
      <c r="D102" s="13"/>
      <c r="E102" s="13"/>
      <c r="F102" s="13"/>
      <c r="G102" s="13"/>
      <c r="H102" s="13"/>
      <c r="I102" s="13"/>
      <c r="J102" s="13"/>
      <c r="K102" s="13"/>
      <c r="L102" s="13"/>
      <c r="M102" s="13"/>
      <c r="N102" s="13"/>
      <c r="O102" s="13"/>
      <c r="P102" s="13"/>
      <c r="Q102" s="13"/>
      <c r="R102" s="13"/>
      <c r="S102" s="13"/>
      <c r="T102" s="13"/>
      <c r="U102" s="13"/>
    </row>
    <row r="103" spans="1:21" x14ac:dyDescent="0.2">
      <c r="A103" s="11" t="s">
        <v>269</v>
      </c>
      <c r="B103" s="12" t="s">
        <v>257</v>
      </c>
      <c r="C103" s="13"/>
      <c r="D103" s="13"/>
      <c r="E103" s="13"/>
      <c r="F103" s="13"/>
      <c r="G103" s="13"/>
      <c r="H103" s="13"/>
      <c r="I103" s="13"/>
      <c r="J103" s="13"/>
      <c r="K103" s="13"/>
      <c r="L103" s="13"/>
      <c r="M103" s="13"/>
      <c r="N103" s="13"/>
      <c r="O103" s="13"/>
      <c r="P103" s="13"/>
      <c r="Q103" s="13"/>
      <c r="R103" s="13"/>
      <c r="S103" s="13"/>
      <c r="T103" s="13"/>
      <c r="U103" s="13"/>
    </row>
    <row r="104" spans="1:21" x14ac:dyDescent="0.2">
      <c r="A104" s="11" t="s">
        <v>262</v>
      </c>
      <c r="B104" s="12"/>
      <c r="C104" s="13"/>
      <c r="D104" s="13"/>
      <c r="E104" s="13"/>
      <c r="F104" s="13"/>
      <c r="G104" s="13"/>
      <c r="H104" s="13"/>
      <c r="I104" s="13"/>
      <c r="J104" s="13"/>
      <c r="K104" s="13"/>
      <c r="L104" s="13"/>
      <c r="M104" s="13"/>
      <c r="N104" s="13"/>
      <c r="O104" s="13"/>
      <c r="P104" s="13"/>
      <c r="Q104" s="13"/>
      <c r="R104" s="13"/>
      <c r="S104" s="13"/>
      <c r="T104" s="13"/>
      <c r="U104" s="13"/>
    </row>
    <row r="105" spans="1:21" x14ac:dyDescent="0.2">
      <c r="A105" s="863" t="s">
        <v>114</v>
      </c>
      <c r="B105" s="863"/>
      <c r="C105" s="13"/>
      <c r="D105" s="13"/>
      <c r="E105" s="13"/>
      <c r="F105" s="13"/>
      <c r="G105" s="13"/>
      <c r="H105" s="13"/>
      <c r="I105" s="13"/>
      <c r="J105" s="13"/>
      <c r="K105" s="13"/>
      <c r="L105" s="13"/>
      <c r="M105" s="13"/>
      <c r="N105" s="13"/>
      <c r="O105" s="13"/>
      <c r="P105" s="13"/>
      <c r="Q105" s="13"/>
      <c r="R105" s="13"/>
      <c r="S105" s="13"/>
      <c r="T105" s="13"/>
      <c r="U105" s="13"/>
    </row>
    <row r="108" spans="1:21" x14ac:dyDescent="0.2">
      <c r="B108" s="791" t="s">
        <v>358</v>
      </c>
      <c r="C108" s="189"/>
      <c r="D108" s="190"/>
      <c r="E108" s="191"/>
      <c r="F108" s="191"/>
      <c r="G108" s="792" t="s">
        <v>359</v>
      </c>
      <c r="H108" s="792"/>
      <c r="I108" s="191"/>
      <c r="J108" s="110"/>
    </row>
    <row r="109" spans="1:21" x14ac:dyDescent="0.2">
      <c r="B109" s="791"/>
      <c r="C109" s="812" t="s">
        <v>25</v>
      </c>
      <c r="D109" s="812"/>
      <c r="E109" s="192" t="s">
        <v>26</v>
      </c>
      <c r="F109" s="193"/>
      <c r="G109" s="812" t="s">
        <v>27</v>
      </c>
      <c r="H109" s="812"/>
      <c r="I109" s="191"/>
      <c r="J109" s="110"/>
    </row>
    <row r="110" spans="1:21" ht="15.75" x14ac:dyDescent="0.2">
      <c r="B110" s="197"/>
      <c r="C110" s="194"/>
      <c r="D110" s="194"/>
      <c r="E110" s="192"/>
      <c r="F110" s="192"/>
      <c r="G110" s="194"/>
      <c r="H110" s="194"/>
      <c r="I110" s="191"/>
      <c r="J110" s="110"/>
    </row>
    <row r="111" spans="1:21" ht="15.75" x14ac:dyDescent="0.2">
      <c r="B111" s="197" t="s">
        <v>362</v>
      </c>
      <c r="C111" s="189"/>
      <c r="D111" s="190"/>
      <c r="E111" s="191"/>
      <c r="F111" s="191"/>
      <c r="G111" s="792" t="s">
        <v>363</v>
      </c>
      <c r="H111" s="792"/>
      <c r="I111" s="191"/>
      <c r="J111" s="110"/>
    </row>
    <row r="112" spans="1:21" ht="15.75" x14ac:dyDescent="0.2">
      <c r="B112" s="197"/>
      <c r="C112" s="812" t="s">
        <v>25</v>
      </c>
      <c r="D112" s="812"/>
      <c r="E112" s="192"/>
      <c r="F112" s="193"/>
      <c r="G112" s="812" t="s">
        <v>27</v>
      </c>
      <c r="H112" s="812"/>
      <c r="I112" s="191"/>
      <c r="J112" s="110"/>
    </row>
    <row r="113" spans="2:10" ht="15.75" x14ac:dyDescent="0.25">
      <c r="B113" s="195" t="s">
        <v>360</v>
      </c>
      <c r="C113" s="790" t="s">
        <v>361</v>
      </c>
      <c r="D113" s="790"/>
      <c r="E113" s="196"/>
      <c r="F113" s="196"/>
      <c r="G113" s="790" t="s">
        <v>365</v>
      </c>
      <c r="H113" s="790"/>
      <c r="I113" s="790"/>
      <c r="J113" s="859"/>
    </row>
  </sheetData>
  <mergeCells count="48">
    <mergeCell ref="C112:D112"/>
    <mergeCell ref="G112:H112"/>
    <mergeCell ref="C113:D113"/>
    <mergeCell ref="G113:J113"/>
    <mergeCell ref="B108:B109"/>
    <mergeCell ref="G108:H108"/>
    <mergeCell ref="C109:D109"/>
    <mergeCell ref="G109:H109"/>
    <mergeCell ref="G111:H111"/>
    <mergeCell ref="A105:B105"/>
    <mergeCell ref="A69:B69"/>
    <mergeCell ref="A81:B81"/>
    <mergeCell ref="A82:U82"/>
    <mergeCell ref="A94:U94"/>
    <mergeCell ref="A93:B93"/>
    <mergeCell ref="A70:U70"/>
    <mergeCell ref="R1:U1"/>
    <mergeCell ref="A2:U2"/>
    <mergeCell ref="A4:U4"/>
    <mergeCell ref="E7:E9"/>
    <mergeCell ref="F7:I7"/>
    <mergeCell ref="D7:D9"/>
    <mergeCell ref="L8:M8"/>
    <mergeCell ref="N8:O8"/>
    <mergeCell ref="P8:Q8"/>
    <mergeCell ref="B6:B9"/>
    <mergeCell ref="C7:C9"/>
    <mergeCell ref="A5:T5"/>
    <mergeCell ref="C6:E6"/>
    <mergeCell ref="A6:A9"/>
    <mergeCell ref="R7:U7"/>
    <mergeCell ref="F6:U6"/>
    <mergeCell ref="A58:U58"/>
    <mergeCell ref="A57:B57"/>
    <mergeCell ref="J7:M7"/>
    <mergeCell ref="N7:Q7"/>
    <mergeCell ref="F8:G8"/>
    <mergeCell ref="A34:U34"/>
    <mergeCell ref="A46:U46"/>
    <mergeCell ref="A45:B45"/>
    <mergeCell ref="A21:B21"/>
    <mergeCell ref="A33:B33"/>
    <mergeCell ref="R8:S8"/>
    <mergeCell ref="T8:U8"/>
    <mergeCell ref="A10:U10"/>
    <mergeCell ref="A22:U22"/>
    <mergeCell ref="H8:I8"/>
    <mergeCell ref="J8:K8"/>
  </mergeCells>
  <phoneticPr fontId="9" type="noConversion"/>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J100"/>
  <sheetViews>
    <sheetView workbookViewId="0">
      <selection activeCell="F51" sqref="F51"/>
    </sheetView>
  </sheetViews>
  <sheetFormatPr defaultRowHeight="12.75" x14ac:dyDescent="0.2"/>
  <cols>
    <col min="1" max="1" width="3.85546875" customWidth="1"/>
    <col min="2" max="2" width="8.42578125" customWidth="1"/>
    <col min="3" max="3" width="40.7109375" customWidth="1"/>
    <col min="4" max="4" width="16" customWidth="1"/>
    <col min="5" max="5" width="16.7109375" customWidth="1"/>
    <col min="6" max="6" width="13.42578125" customWidth="1"/>
    <col min="7" max="7" width="17.7109375" customWidth="1"/>
    <col min="8" max="8" width="32.7109375" customWidth="1"/>
    <col min="9" max="9" width="24.140625" customWidth="1"/>
    <col min="10" max="10" width="13" customWidth="1"/>
    <col min="258" max="258" width="3.85546875" customWidth="1"/>
    <col min="259" max="259" width="8.42578125" customWidth="1"/>
    <col min="260" max="260" width="47.42578125" customWidth="1"/>
    <col min="261" max="261" width="25.7109375" customWidth="1"/>
    <col min="262" max="262" width="25.5703125" customWidth="1"/>
    <col min="263" max="263" width="25.7109375" customWidth="1"/>
    <col min="264" max="264" width="32.7109375" customWidth="1"/>
    <col min="265" max="265" width="24.140625" customWidth="1"/>
    <col min="266" max="266" width="13" customWidth="1"/>
    <col min="514" max="514" width="3.85546875" customWidth="1"/>
    <col min="515" max="515" width="8.42578125" customWidth="1"/>
    <col min="516" max="516" width="47.42578125" customWidth="1"/>
    <col min="517" max="517" width="25.7109375" customWidth="1"/>
    <col min="518" max="518" width="25.5703125" customWidth="1"/>
    <col min="519" max="519" width="25.7109375" customWidth="1"/>
    <col min="520" max="520" width="32.7109375" customWidth="1"/>
    <col min="521" max="521" width="24.140625" customWidth="1"/>
    <col min="522" max="522" width="13" customWidth="1"/>
    <col min="770" max="770" width="3.85546875" customWidth="1"/>
    <col min="771" max="771" width="8.42578125" customWidth="1"/>
    <col min="772" max="772" width="47.42578125" customWidth="1"/>
    <col min="773" max="773" width="25.7109375" customWidth="1"/>
    <col min="774" max="774" width="25.5703125" customWidth="1"/>
    <col min="775" max="775" width="25.7109375" customWidth="1"/>
    <col min="776" max="776" width="32.7109375" customWidth="1"/>
    <col min="777" max="777" width="24.140625" customWidth="1"/>
    <col min="778" max="778" width="13" customWidth="1"/>
    <col min="1026" max="1026" width="3.85546875" customWidth="1"/>
    <col min="1027" max="1027" width="8.42578125" customWidth="1"/>
    <col min="1028" max="1028" width="47.42578125" customWidth="1"/>
    <col min="1029" max="1029" width="25.7109375" customWidth="1"/>
    <col min="1030" max="1030" width="25.5703125" customWidth="1"/>
    <col min="1031" max="1031" width="25.7109375" customWidth="1"/>
    <col min="1032" max="1032" width="32.7109375" customWidth="1"/>
    <col min="1033" max="1033" width="24.140625" customWidth="1"/>
    <col min="1034" max="1034" width="13" customWidth="1"/>
    <col min="1282" max="1282" width="3.85546875" customWidth="1"/>
    <col min="1283" max="1283" width="8.42578125" customWidth="1"/>
    <col min="1284" max="1284" width="47.42578125" customWidth="1"/>
    <col min="1285" max="1285" width="25.7109375" customWidth="1"/>
    <col min="1286" max="1286" width="25.5703125" customWidth="1"/>
    <col min="1287" max="1287" width="25.7109375" customWidth="1"/>
    <col min="1288" max="1288" width="32.7109375" customWidth="1"/>
    <col min="1289" max="1289" width="24.140625" customWidth="1"/>
    <col min="1290" max="1290" width="13" customWidth="1"/>
    <col min="1538" max="1538" width="3.85546875" customWidth="1"/>
    <col min="1539" max="1539" width="8.42578125" customWidth="1"/>
    <col min="1540" max="1540" width="47.42578125" customWidth="1"/>
    <col min="1541" max="1541" width="25.7109375" customWidth="1"/>
    <col min="1542" max="1542" width="25.5703125" customWidth="1"/>
    <col min="1543" max="1543" width="25.7109375" customWidth="1"/>
    <col min="1544" max="1544" width="32.7109375" customWidth="1"/>
    <col min="1545" max="1545" width="24.140625" customWidth="1"/>
    <col min="1546" max="1546" width="13" customWidth="1"/>
    <col min="1794" max="1794" width="3.85546875" customWidth="1"/>
    <col min="1795" max="1795" width="8.42578125" customWidth="1"/>
    <col min="1796" max="1796" width="47.42578125" customWidth="1"/>
    <col min="1797" max="1797" width="25.7109375" customWidth="1"/>
    <col min="1798" max="1798" width="25.5703125" customWidth="1"/>
    <col min="1799" max="1799" width="25.7109375" customWidth="1"/>
    <col min="1800" max="1800" width="32.7109375" customWidth="1"/>
    <col min="1801" max="1801" width="24.140625" customWidth="1"/>
    <col min="1802" max="1802" width="13" customWidth="1"/>
    <col min="2050" max="2050" width="3.85546875" customWidth="1"/>
    <col min="2051" max="2051" width="8.42578125" customWidth="1"/>
    <col min="2052" max="2052" width="47.42578125" customWidth="1"/>
    <col min="2053" max="2053" width="25.7109375" customWidth="1"/>
    <col min="2054" max="2054" width="25.5703125" customWidth="1"/>
    <col min="2055" max="2055" width="25.7109375" customWidth="1"/>
    <col min="2056" max="2056" width="32.7109375" customWidth="1"/>
    <col min="2057" max="2057" width="24.140625" customWidth="1"/>
    <col min="2058" max="2058" width="13" customWidth="1"/>
    <col min="2306" max="2306" width="3.85546875" customWidth="1"/>
    <col min="2307" max="2307" width="8.42578125" customWidth="1"/>
    <col min="2308" max="2308" width="47.42578125" customWidth="1"/>
    <col min="2309" max="2309" width="25.7109375" customWidth="1"/>
    <col min="2310" max="2310" width="25.5703125" customWidth="1"/>
    <col min="2311" max="2311" width="25.7109375" customWidth="1"/>
    <col min="2312" max="2312" width="32.7109375" customWidth="1"/>
    <col min="2313" max="2313" width="24.140625" customWidth="1"/>
    <col min="2314" max="2314" width="13" customWidth="1"/>
    <col min="2562" max="2562" width="3.85546875" customWidth="1"/>
    <col min="2563" max="2563" width="8.42578125" customWidth="1"/>
    <col min="2564" max="2564" width="47.42578125" customWidth="1"/>
    <col min="2565" max="2565" width="25.7109375" customWidth="1"/>
    <col min="2566" max="2566" width="25.5703125" customWidth="1"/>
    <col min="2567" max="2567" width="25.7109375" customWidth="1"/>
    <col min="2568" max="2568" width="32.7109375" customWidth="1"/>
    <col min="2569" max="2569" width="24.140625" customWidth="1"/>
    <col min="2570" max="2570" width="13" customWidth="1"/>
    <col min="2818" max="2818" width="3.85546875" customWidth="1"/>
    <col min="2819" max="2819" width="8.42578125" customWidth="1"/>
    <col min="2820" max="2820" width="47.42578125" customWidth="1"/>
    <col min="2821" max="2821" width="25.7109375" customWidth="1"/>
    <col min="2822" max="2822" width="25.5703125" customWidth="1"/>
    <col min="2823" max="2823" width="25.7109375" customWidth="1"/>
    <col min="2824" max="2824" width="32.7109375" customWidth="1"/>
    <col min="2825" max="2825" width="24.140625" customWidth="1"/>
    <col min="2826" max="2826" width="13" customWidth="1"/>
    <col min="3074" max="3074" width="3.85546875" customWidth="1"/>
    <col min="3075" max="3075" width="8.42578125" customWidth="1"/>
    <col min="3076" max="3076" width="47.42578125" customWidth="1"/>
    <col min="3077" max="3077" width="25.7109375" customWidth="1"/>
    <col min="3078" max="3078" width="25.5703125" customWidth="1"/>
    <col min="3079" max="3079" width="25.7109375" customWidth="1"/>
    <col min="3080" max="3080" width="32.7109375" customWidth="1"/>
    <col min="3081" max="3081" width="24.140625" customWidth="1"/>
    <col min="3082" max="3082" width="13" customWidth="1"/>
    <col min="3330" max="3330" width="3.85546875" customWidth="1"/>
    <col min="3331" max="3331" width="8.42578125" customWidth="1"/>
    <col min="3332" max="3332" width="47.42578125" customWidth="1"/>
    <col min="3333" max="3333" width="25.7109375" customWidth="1"/>
    <col min="3334" max="3334" width="25.5703125" customWidth="1"/>
    <col min="3335" max="3335" width="25.7109375" customWidth="1"/>
    <col min="3336" max="3336" width="32.7109375" customWidth="1"/>
    <col min="3337" max="3337" width="24.140625" customWidth="1"/>
    <col min="3338" max="3338" width="13" customWidth="1"/>
    <col min="3586" max="3586" width="3.85546875" customWidth="1"/>
    <col min="3587" max="3587" width="8.42578125" customWidth="1"/>
    <col min="3588" max="3588" width="47.42578125" customWidth="1"/>
    <col min="3589" max="3589" width="25.7109375" customWidth="1"/>
    <col min="3590" max="3590" width="25.5703125" customWidth="1"/>
    <col min="3591" max="3591" width="25.7109375" customWidth="1"/>
    <col min="3592" max="3592" width="32.7109375" customWidth="1"/>
    <col min="3593" max="3593" width="24.140625" customWidth="1"/>
    <col min="3594" max="3594" width="13" customWidth="1"/>
    <col min="3842" max="3842" width="3.85546875" customWidth="1"/>
    <col min="3843" max="3843" width="8.42578125" customWidth="1"/>
    <col min="3844" max="3844" width="47.42578125" customWidth="1"/>
    <col min="3845" max="3845" width="25.7109375" customWidth="1"/>
    <col min="3846" max="3846" width="25.5703125" customWidth="1"/>
    <col min="3847" max="3847" width="25.7109375" customWidth="1"/>
    <col min="3848" max="3848" width="32.7109375" customWidth="1"/>
    <col min="3849" max="3849" width="24.140625" customWidth="1"/>
    <col min="3850" max="3850" width="13" customWidth="1"/>
    <col min="4098" max="4098" width="3.85546875" customWidth="1"/>
    <col min="4099" max="4099" width="8.42578125" customWidth="1"/>
    <col min="4100" max="4100" width="47.42578125" customWidth="1"/>
    <col min="4101" max="4101" width="25.7109375" customWidth="1"/>
    <col min="4102" max="4102" width="25.5703125" customWidth="1"/>
    <col min="4103" max="4103" width="25.7109375" customWidth="1"/>
    <col min="4104" max="4104" width="32.7109375" customWidth="1"/>
    <col min="4105" max="4105" width="24.140625" customWidth="1"/>
    <col min="4106" max="4106" width="13" customWidth="1"/>
    <col min="4354" max="4354" width="3.85546875" customWidth="1"/>
    <col min="4355" max="4355" width="8.42578125" customWidth="1"/>
    <col min="4356" max="4356" width="47.42578125" customWidth="1"/>
    <col min="4357" max="4357" width="25.7109375" customWidth="1"/>
    <col min="4358" max="4358" width="25.5703125" customWidth="1"/>
    <col min="4359" max="4359" width="25.7109375" customWidth="1"/>
    <col min="4360" max="4360" width="32.7109375" customWidth="1"/>
    <col min="4361" max="4361" width="24.140625" customWidth="1"/>
    <col min="4362" max="4362" width="13" customWidth="1"/>
    <col min="4610" max="4610" width="3.85546875" customWidth="1"/>
    <col min="4611" max="4611" width="8.42578125" customWidth="1"/>
    <col min="4612" max="4612" width="47.42578125" customWidth="1"/>
    <col min="4613" max="4613" width="25.7109375" customWidth="1"/>
    <col min="4614" max="4614" width="25.5703125" customWidth="1"/>
    <col min="4615" max="4615" width="25.7109375" customWidth="1"/>
    <col min="4616" max="4616" width="32.7109375" customWidth="1"/>
    <col min="4617" max="4617" width="24.140625" customWidth="1"/>
    <col min="4618" max="4618" width="13" customWidth="1"/>
    <col min="4866" max="4866" width="3.85546875" customWidth="1"/>
    <col min="4867" max="4867" width="8.42578125" customWidth="1"/>
    <col min="4868" max="4868" width="47.42578125" customWidth="1"/>
    <col min="4869" max="4869" width="25.7109375" customWidth="1"/>
    <col min="4870" max="4870" width="25.5703125" customWidth="1"/>
    <col min="4871" max="4871" width="25.7109375" customWidth="1"/>
    <col min="4872" max="4872" width="32.7109375" customWidth="1"/>
    <col min="4873" max="4873" width="24.140625" customWidth="1"/>
    <col min="4874" max="4874" width="13" customWidth="1"/>
    <col min="5122" max="5122" width="3.85546875" customWidth="1"/>
    <col min="5123" max="5123" width="8.42578125" customWidth="1"/>
    <col min="5124" max="5124" width="47.42578125" customWidth="1"/>
    <col min="5125" max="5125" width="25.7109375" customWidth="1"/>
    <col min="5126" max="5126" width="25.5703125" customWidth="1"/>
    <col min="5127" max="5127" width="25.7109375" customWidth="1"/>
    <col min="5128" max="5128" width="32.7109375" customWidth="1"/>
    <col min="5129" max="5129" width="24.140625" customWidth="1"/>
    <col min="5130" max="5130" width="13" customWidth="1"/>
    <col min="5378" max="5378" width="3.85546875" customWidth="1"/>
    <col min="5379" max="5379" width="8.42578125" customWidth="1"/>
    <col min="5380" max="5380" width="47.42578125" customWidth="1"/>
    <col min="5381" max="5381" width="25.7109375" customWidth="1"/>
    <col min="5382" max="5382" width="25.5703125" customWidth="1"/>
    <col min="5383" max="5383" width="25.7109375" customWidth="1"/>
    <col min="5384" max="5384" width="32.7109375" customWidth="1"/>
    <col min="5385" max="5385" width="24.140625" customWidth="1"/>
    <col min="5386" max="5386" width="13" customWidth="1"/>
    <col min="5634" max="5634" width="3.85546875" customWidth="1"/>
    <col min="5635" max="5635" width="8.42578125" customWidth="1"/>
    <col min="5636" max="5636" width="47.42578125" customWidth="1"/>
    <col min="5637" max="5637" width="25.7109375" customWidth="1"/>
    <col min="5638" max="5638" width="25.5703125" customWidth="1"/>
    <col min="5639" max="5639" width="25.7109375" customWidth="1"/>
    <col min="5640" max="5640" width="32.7109375" customWidth="1"/>
    <col min="5641" max="5641" width="24.140625" customWidth="1"/>
    <col min="5642" max="5642" width="13" customWidth="1"/>
    <col min="5890" max="5890" width="3.85546875" customWidth="1"/>
    <col min="5891" max="5891" width="8.42578125" customWidth="1"/>
    <col min="5892" max="5892" width="47.42578125" customWidth="1"/>
    <col min="5893" max="5893" width="25.7109375" customWidth="1"/>
    <col min="5894" max="5894" width="25.5703125" customWidth="1"/>
    <col min="5895" max="5895" width="25.7109375" customWidth="1"/>
    <col min="5896" max="5896" width="32.7109375" customWidth="1"/>
    <col min="5897" max="5897" width="24.140625" customWidth="1"/>
    <col min="5898" max="5898" width="13" customWidth="1"/>
    <col min="6146" max="6146" width="3.85546875" customWidth="1"/>
    <col min="6147" max="6147" width="8.42578125" customWidth="1"/>
    <col min="6148" max="6148" width="47.42578125" customWidth="1"/>
    <col min="6149" max="6149" width="25.7109375" customWidth="1"/>
    <col min="6150" max="6150" width="25.5703125" customWidth="1"/>
    <col min="6151" max="6151" width="25.7109375" customWidth="1"/>
    <col min="6152" max="6152" width="32.7109375" customWidth="1"/>
    <col min="6153" max="6153" width="24.140625" customWidth="1"/>
    <col min="6154" max="6154" width="13" customWidth="1"/>
    <col min="6402" max="6402" width="3.85546875" customWidth="1"/>
    <col min="6403" max="6403" width="8.42578125" customWidth="1"/>
    <col min="6404" max="6404" width="47.42578125" customWidth="1"/>
    <col min="6405" max="6405" width="25.7109375" customWidth="1"/>
    <col min="6406" max="6406" width="25.5703125" customWidth="1"/>
    <col min="6407" max="6407" width="25.7109375" customWidth="1"/>
    <col min="6408" max="6408" width="32.7109375" customWidth="1"/>
    <col min="6409" max="6409" width="24.140625" customWidth="1"/>
    <col min="6410" max="6410" width="13" customWidth="1"/>
    <col min="6658" max="6658" width="3.85546875" customWidth="1"/>
    <col min="6659" max="6659" width="8.42578125" customWidth="1"/>
    <col min="6660" max="6660" width="47.42578125" customWidth="1"/>
    <col min="6661" max="6661" width="25.7109375" customWidth="1"/>
    <col min="6662" max="6662" width="25.5703125" customWidth="1"/>
    <col min="6663" max="6663" width="25.7109375" customWidth="1"/>
    <col min="6664" max="6664" width="32.7109375" customWidth="1"/>
    <col min="6665" max="6665" width="24.140625" customWidth="1"/>
    <col min="6666" max="6666" width="13" customWidth="1"/>
    <col min="6914" max="6914" width="3.85546875" customWidth="1"/>
    <col min="6915" max="6915" width="8.42578125" customWidth="1"/>
    <col min="6916" max="6916" width="47.42578125" customWidth="1"/>
    <col min="6917" max="6917" width="25.7109375" customWidth="1"/>
    <col min="6918" max="6918" width="25.5703125" customWidth="1"/>
    <col min="6919" max="6919" width="25.7109375" customWidth="1"/>
    <col min="6920" max="6920" width="32.7109375" customWidth="1"/>
    <col min="6921" max="6921" width="24.140625" customWidth="1"/>
    <col min="6922" max="6922" width="13" customWidth="1"/>
    <col min="7170" max="7170" width="3.85546875" customWidth="1"/>
    <col min="7171" max="7171" width="8.42578125" customWidth="1"/>
    <col min="7172" max="7172" width="47.42578125" customWidth="1"/>
    <col min="7173" max="7173" width="25.7109375" customWidth="1"/>
    <col min="7174" max="7174" width="25.5703125" customWidth="1"/>
    <col min="7175" max="7175" width="25.7109375" customWidth="1"/>
    <col min="7176" max="7176" width="32.7109375" customWidth="1"/>
    <col min="7177" max="7177" width="24.140625" customWidth="1"/>
    <col min="7178" max="7178" width="13" customWidth="1"/>
    <col min="7426" max="7426" width="3.85546875" customWidth="1"/>
    <col min="7427" max="7427" width="8.42578125" customWidth="1"/>
    <col min="7428" max="7428" width="47.42578125" customWidth="1"/>
    <col min="7429" max="7429" width="25.7109375" customWidth="1"/>
    <col min="7430" max="7430" width="25.5703125" customWidth="1"/>
    <col min="7431" max="7431" width="25.7109375" customWidth="1"/>
    <col min="7432" max="7432" width="32.7109375" customWidth="1"/>
    <col min="7433" max="7433" width="24.140625" customWidth="1"/>
    <col min="7434" max="7434" width="13" customWidth="1"/>
    <col min="7682" max="7682" width="3.85546875" customWidth="1"/>
    <col min="7683" max="7683" width="8.42578125" customWidth="1"/>
    <col min="7684" max="7684" width="47.42578125" customWidth="1"/>
    <col min="7685" max="7685" width="25.7109375" customWidth="1"/>
    <col min="7686" max="7686" width="25.5703125" customWidth="1"/>
    <col min="7687" max="7687" width="25.7109375" customWidth="1"/>
    <col min="7688" max="7688" width="32.7109375" customWidth="1"/>
    <col min="7689" max="7689" width="24.140625" customWidth="1"/>
    <col min="7690" max="7690" width="13" customWidth="1"/>
    <col min="7938" max="7938" width="3.85546875" customWidth="1"/>
    <col min="7939" max="7939" width="8.42578125" customWidth="1"/>
    <col min="7940" max="7940" width="47.42578125" customWidth="1"/>
    <col min="7941" max="7941" width="25.7109375" customWidth="1"/>
    <col min="7942" max="7942" width="25.5703125" customWidth="1"/>
    <col min="7943" max="7943" width="25.7109375" customWidth="1"/>
    <col min="7944" max="7944" width="32.7109375" customWidth="1"/>
    <col min="7945" max="7945" width="24.140625" customWidth="1"/>
    <col min="7946" max="7946" width="13" customWidth="1"/>
    <col min="8194" max="8194" width="3.85546875" customWidth="1"/>
    <col min="8195" max="8195" width="8.42578125" customWidth="1"/>
    <col min="8196" max="8196" width="47.42578125" customWidth="1"/>
    <col min="8197" max="8197" width="25.7109375" customWidth="1"/>
    <col min="8198" max="8198" width="25.5703125" customWidth="1"/>
    <col min="8199" max="8199" width="25.7109375" customWidth="1"/>
    <col min="8200" max="8200" width="32.7109375" customWidth="1"/>
    <col min="8201" max="8201" width="24.140625" customWidth="1"/>
    <col min="8202" max="8202" width="13" customWidth="1"/>
    <col min="8450" max="8450" width="3.85546875" customWidth="1"/>
    <col min="8451" max="8451" width="8.42578125" customWidth="1"/>
    <col min="8452" max="8452" width="47.42578125" customWidth="1"/>
    <col min="8453" max="8453" width="25.7109375" customWidth="1"/>
    <col min="8454" max="8454" width="25.5703125" customWidth="1"/>
    <col min="8455" max="8455" width="25.7109375" customWidth="1"/>
    <col min="8456" max="8456" width="32.7109375" customWidth="1"/>
    <col min="8457" max="8457" width="24.140625" customWidth="1"/>
    <col min="8458" max="8458" width="13" customWidth="1"/>
    <col min="8706" max="8706" width="3.85546875" customWidth="1"/>
    <col min="8707" max="8707" width="8.42578125" customWidth="1"/>
    <col min="8708" max="8708" width="47.42578125" customWidth="1"/>
    <col min="8709" max="8709" width="25.7109375" customWidth="1"/>
    <col min="8710" max="8710" width="25.5703125" customWidth="1"/>
    <col min="8711" max="8711" width="25.7109375" customWidth="1"/>
    <col min="8712" max="8712" width="32.7109375" customWidth="1"/>
    <col min="8713" max="8713" width="24.140625" customWidth="1"/>
    <col min="8714" max="8714" width="13" customWidth="1"/>
    <col min="8962" max="8962" width="3.85546875" customWidth="1"/>
    <col min="8963" max="8963" width="8.42578125" customWidth="1"/>
    <col min="8964" max="8964" width="47.42578125" customWidth="1"/>
    <col min="8965" max="8965" width="25.7109375" customWidth="1"/>
    <col min="8966" max="8966" width="25.5703125" customWidth="1"/>
    <col min="8967" max="8967" width="25.7109375" customWidth="1"/>
    <col min="8968" max="8968" width="32.7109375" customWidth="1"/>
    <col min="8969" max="8969" width="24.140625" customWidth="1"/>
    <col min="8970" max="8970" width="13" customWidth="1"/>
    <col min="9218" max="9218" width="3.85546875" customWidth="1"/>
    <col min="9219" max="9219" width="8.42578125" customWidth="1"/>
    <col min="9220" max="9220" width="47.42578125" customWidth="1"/>
    <col min="9221" max="9221" width="25.7109375" customWidth="1"/>
    <col min="9222" max="9222" width="25.5703125" customWidth="1"/>
    <col min="9223" max="9223" width="25.7109375" customWidth="1"/>
    <col min="9224" max="9224" width="32.7109375" customWidth="1"/>
    <col min="9225" max="9225" width="24.140625" customWidth="1"/>
    <col min="9226" max="9226" width="13" customWidth="1"/>
    <col min="9474" max="9474" width="3.85546875" customWidth="1"/>
    <col min="9475" max="9475" width="8.42578125" customWidth="1"/>
    <col min="9476" max="9476" width="47.42578125" customWidth="1"/>
    <col min="9477" max="9477" width="25.7109375" customWidth="1"/>
    <col min="9478" max="9478" width="25.5703125" customWidth="1"/>
    <col min="9479" max="9479" width="25.7109375" customWidth="1"/>
    <col min="9480" max="9480" width="32.7109375" customWidth="1"/>
    <col min="9481" max="9481" width="24.140625" customWidth="1"/>
    <col min="9482" max="9482" width="13" customWidth="1"/>
    <col min="9730" max="9730" width="3.85546875" customWidth="1"/>
    <col min="9731" max="9731" width="8.42578125" customWidth="1"/>
    <col min="9732" max="9732" width="47.42578125" customWidth="1"/>
    <col min="9733" max="9733" width="25.7109375" customWidth="1"/>
    <col min="9734" max="9734" width="25.5703125" customWidth="1"/>
    <col min="9735" max="9735" width="25.7109375" customWidth="1"/>
    <col min="9736" max="9736" width="32.7109375" customWidth="1"/>
    <col min="9737" max="9737" width="24.140625" customWidth="1"/>
    <col min="9738" max="9738" width="13" customWidth="1"/>
    <col min="9986" max="9986" width="3.85546875" customWidth="1"/>
    <col min="9987" max="9987" width="8.42578125" customWidth="1"/>
    <col min="9988" max="9988" width="47.42578125" customWidth="1"/>
    <col min="9989" max="9989" width="25.7109375" customWidth="1"/>
    <col min="9990" max="9990" width="25.5703125" customWidth="1"/>
    <col min="9991" max="9991" width="25.7109375" customWidth="1"/>
    <col min="9992" max="9992" width="32.7109375" customWidth="1"/>
    <col min="9993" max="9993" width="24.140625" customWidth="1"/>
    <col min="9994" max="9994" width="13" customWidth="1"/>
    <col min="10242" max="10242" width="3.85546875" customWidth="1"/>
    <col min="10243" max="10243" width="8.42578125" customWidth="1"/>
    <col min="10244" max="10244" width="47.42578125" customWidth="1"/>
    <col min="10245" max="10245" width="25.7109375" customWidth="1"/>
    <col min="10246" max="10246" width="25.5703125" customWidth="1"/>
    <col min="10247" max="10247" width="25.7109375" customWidth="1"/>
    <col min="10248" max="10248" width="32.7109375" customWidth="1"/>
    <col min="10249" max="10249" width="24.140625" customWidth="1"/>
    <col min="10250" max="10250" width="13" customWidth="1"/>
    <col min="10498" max="10498" width="3.85546875" customWidth="1"/>
    <col min="10499" max="10499" width="8.42578125" customWidth="1"/>
    <col min="10500" max="10500" width="47.42578125" customWidth="1"/>
    <col min="10501" max="10501" width="25.7109375" customWidth="1"/>
    <col min="10502" max="10502" width="25.5703125" customWidth="1"/>
    <col min="10503" max="10503" width="25.7109375" customWidth="1"/>
    <col min="10504" max="10504" width="32.7109375" customWidth="1"/>
    <col min="10505" max="10505" width="24.140625" customWidth="1"/>
    <col min="10506" max="10506" width="13" customWidth="1"/>
    <col min="10754" max="10754" width="3.85546875" customWidth="1"/>
    <col min="10755" max="10755" width="8.42578125" customWidth="1"/>
    <col min="10756" max="10756" width="47.42578125" customWidth="1"/>
    <col min="10757" max="10757" width="25.7109375" customWidth="1"/>
    <col min="10758" max="10758" width="25.5703125" customWidth="1"/>
    <col min="10759" max="10759" width="25.7109375" customWidth="1"/>
    <col min="10760" max="10760" width="32.7109375" customWidth="1"/>
    <col min="10761" max="10761" width="24.140625" customWidth="1"/>
    <col min="10762" max="10762" width="13" customWidth="1"/>
    <col min="11010" max="11010" width="3.85546875" customWidth="1"/>
    <col min="11011" max="11011" width="8.42578125" customWidth="1"/>
    <col min="11012" max="11012" width="47.42578125" customWidth="1"/>
    <col min="11013" max="11013" width="25.7109375" customWidth="1"/>
    <col min="11014" max="11014" width="25.5703125" customWidth="1"/>
    <col min="11015" max="11015" width="25.7109375" customWidth="1"/>
    <col min="11016" max="11016" width="32.7109375" customWidth="1"/>
    <col min="11017" max="11017" width="24.140625" customWidth="1"/>
    <col min="11018" max="11018" width="13" customWidth="1"/>
    <col min="11266" max="11266" width="3.85546875" customWidth="1"/>
    <col min="11267" max="11267" width="8.42578125" customWidth="1"/>
    <col min="11268" max="11268" width="47.42578125" customWidth="1"/>
    <col min="11269" max="11269" width="25.7109375" customWidth="1"/>
    <col min="11270" max="11270" width="25.5703125" customWidth="1"/>
    <col min="11271" max="11271" width="25.7109375" customWidth="1"/>
    <col min="11272" max="11272" width="32.7109375" customWidth="1"/>
    <col min="11273" max="11273" width="24.140625" customWidth="1"/>
    <col min="11274" max="11274" width="13" customWidth="1"/>
    <col min="11522" max="11522" width="3.85546875" customWidth="1"/>
    <col min="11523" max="11523" width="8.42578125" customWidth="1"/>
    <col min="11524" max="11524" width="47.42578125" customWidth="1"/>
    <col min="11525" max="11525" width="25.7109375" customWidth="1"/>
    <col min="11526" max="11526" width="25.5703125" customWidth="1"/>
    <col min="11527" max="11527" width="25.7109375" customWidth="1"/>
    <col min="11528" max="11528" width="32.7109375" customWidth="1"/>
    <col min="11529" max="11529" width="24.140625" customWidth="1"/>
    <col min="11530" max="11530" width="13" customWidth="1"/>
    <col min="11778" max="11778" width="3.85546875" customWidth="1"/>
    <col min="11779" max="11779" width="8.42578125" customWidth="1"/>
    <col min="11780" max="11780" width="47.42578125" customWidth="1"/>
    <col min="11781" max="11781" width="25.7109375" customWidth="1"/>
    <col min="11782" max="11782" width="25.5703125" customWidth="1"/>
    <col min="11783" max="11783" width="25.7109375" customWidth="1"/>
    <col min="11784" max="11784" width="32.7109375" customWidth="1"/>
    <col min="11785" max="11785" width="24.140625" customWidth="1"/>
    <col min="11786" max="11786" width="13" customWidth="1"/>
    <col min="12034" max="12034" width="3.85546875" customWidth="1"/>
    <col min="12035" max="12035" width="8.42578125" customWidth="1"/>
    <col min="12036" max="12036" width="47.42578125" customWidth="1"/>
    <col min="12037" max="12037" width="25.7109375" customWidth="1"/>
    <col min="12038" max="12038" width="25.5703125" customWidth="1"/>
    <col min="12039" max="12039" width="25.7109375" customWidth="1"/>
    <col min="12040" max="12040" width="32.7109375" customWidth="1"/>
    <col min="12041" max="12041" width="24.140625" customWidth="1"/>
    <col min="12042" max="12042" width="13" customWidth="1"/>
    <col min="12290" max="12290" width="3.85546875" customWidth="1"/>
    <col min="12291" max="12291" width="8.42578125" customWidth="1"/>
    <col min="12292" max="12292" width="47.42578125" customWidth="1"/>
    <col min="12293" max="12293" width="25.7109375" customWidth="1"/>
    <col min="12294" max="12294" width="25.5703125" customWidth="1"/>
    <col min="12295" max="12295" width="25.7109375" customWidth="1"/>
    <col min="12296" max="12296" width="32.7109375" customWidth="1"/>
    <col min="12297" max="12297" width="24.140625" customWidth="1"/>
    <col min="12298" max="12298" width="13" customWidth="1"/>
    <col min="12546" max="12546" width="3.85546875" customWidth="1"/>
    <col min="12547" max="12547" width="8.42578125" customWidth="1"/>
    <col min="12548" max="12548" width="47.42578125" customWidth="1"/>
    <col min="12549" max="12549" width="25.7109375" customWidth="1"/>
    <col min="12550" max="12550" width="25.5703125" customWidth="1"/>
    <col min="12551" max="12551" width="25.7109375" customWidth="1"/>
    <col min="12552" max="12552" width="32.7109375" customWidth="1"/>
    <col min="12553" max="12553" width="24.140625" customWidth="1"/>
    <col min="12554" max="12554" width="13" customWidth="1"/>
    <col min="12802" max="12802" width="3.85546875" customWidth="1"/>
    <col min="12803" max="12803" width="8.42578125" customWidth="1"/>
    <col min="12804" max="12804" width="47.42578125" customWidth="1"/>
    <col min="12805" max="12805" width="25.7109375" customWidth="1"/>
    <col min="12806" max="12806" width="25.5703125" customWidth="1"/>
    <col min="12807" max="12807" width="25.7109375" customWidth="1"/>
    <col min="12808" max="12808" width="32.7109375" customWidth="1"/>
    <col min="12809" max="12809" width="24.140625" customWidth="1"/>
    <col min="12810" max="12810" width="13" customWidth="1"/>
    <col min="13058" max="13058" width="3.85546875" customWidth="1"/>
    <col min="13059" max="13059" width="8.42578125" customWidth="1"/>
    <col min="13060" max="13060" width="47.42578125" customWidth="1"/>
    <col min="13061" max="13061" width="25.7109375" customWidth="1"/>
    <col min="13062" max="13062" width="25.5703125" customWidth="1"/>
    <col min="13063" max="13063" width="25.7109375" customWidth="1"/>
    <col min="13064" max="13064" width="32.7109375" customWidth="1"/>
    <col min="13065" max="13065" width="24.140625" customWidth="1"/>
    <col min="13066" max="13066" width="13" customWidth="1"/>
    <col min="13314" max="13314" width="3.85546875" customWidth="1"/>
    <col min="13315" max="13315" width="8.42578125" customWidth="1"/>
    <col min="13316" max="13316" width="47.42578125" customWidth="1"/>
    <col min="13317" max="13317" width="25.7109375" customWidth="1"/>
    <col min="13318" max="13318" width="25.5703125" customWidth="1"/>
    <col min="13319" max="13319" width="25.7109375" customWidth="1"/>
    <col min="13320" max="13320" width="32.7109375" customWidth="1"/>
    <col min="13321" max="13321" width="24.140625" customWidth="1"/>
    <col min="13322" max="13322" width="13" customWidth="1"/>
    <col min="13570" max="13570" width="3.85546875" customWidth="1"/>
    <col min="13571" max="13571" width="8.42578125" customWidth="1"/>
    <col min="13572" max="13572" width="47.42578125" customWidth="1"/>
    <col min="13573" max="13573" width="25.7109375" customWidth="1"/>
    <col min="13574" max="13574" width="25.5703125" customWidth="1"/>
    <col min="13575" max="13575" width="25.7109375" customWidth="1"/>
    <col min="13576" max="13576" width="32.7109375" customWidth="1"/>
    <col min="13577" max="13577" width="24.140625" customWidth="1"/>
    <col min="13578" max="13578" width="13" customWidth="1"/>
    <col min="13826" max="13826" width="3.85546875" customWidth="1"/>
    <col min="13827" max="13827" width="8.42578125" customWidth="1"/>
    <col min="13828" max="13828" width="47.42578125" customWidth="1"/>
    <col min="13829" max="13829" width="25.7109375" customWidth="1"/>
    <col min="13830" max="13830" width="25.5703125" customWidth="1"/>
    <col min="13831" max="13831" width="25.7109375" customWidth="1"/>
    <col min="13832" max="13832" width="32.7109375" customWidth="1"/>
    <col min="13833" max="13833" width="24.140625" customWidth="1"/>
    <col min="13834" max="13834" width="13" customWidth="1"/>
    <col min="14082" max="14082" width="3.85546875" customWidth="1"/>
    <col min="14083" max="14083" width="8.42578125" customWidth="1"/>
    <col min="14084" max="14084" width="47.42578125" customWidth="1"/>
    <col min="14085" max="14085" width="25.7109375" customWidth="1"/>
    <col min="14086" max="14086" width="25.5703125" customWidth="1"/>
    <col min="14087" max="14087" width="25.7109375" customWidth="1"/>
    <col min="14088" max="14088" width="32.7109375" customWidth="1"/>
    <col min="14089" max="14089" width="24.140625" customWidth="1"/>
    <col min="14090" max="14090" width="13" customWidth="1"/>
    <col min="14338" max="14338" width="3.85546875" customWidth="1"/>
    <col min="14339" max="14339" width="8.42578125" customWidth="1"/>
    <col min="14340" max="14340" width="47.42578125" customWidth="1"/>
    <col min="14341" max="14341" width="25.7109375" customWidth="1"/>
    <col min="14342" max="14342" width="25.5703125" customWidth="1"/>
    <col min="14343" max="14343" width="25.7109375" customWidth="1"/>
    <col min="14344" max="14344" width="32.7109375" customWidth="1"/>
    <col min="14345" max="14345" width="24.140625" customWidth="1"/>
    <col min="14346" max="14346" width="13" customWidth="1"/>
    <col min="14594" max="14594" width="3.85546875" customWidth="1"/>
    <col min="14595" max="14595" width="8.42578125" customWidth="1"/>
    <col min="14596" max="14596" width="47.42578125" customWidth="1"/>
    <col min="14597" max="14597" width="25.7109375" customWidth="1"/>
    <col min="14598" max="14598" width="25.5703125" customWidth="1"/>
    <col min="14599" max="14599" width="25.7109375" customWidth="1"/>
    <col min="14600" max="14600" width="32.7109375" customWidth="1"/>
    <col min="14601" max="14601" width="24.140625" customWidth="1"/>
    <col min="14602" max="14602" width="13" customWidth="1"/>
    <col min="14850" max="14850" width="3.85546875" customWidth="1"/>
    <col min="14851" max="14851" width="8.42578125" customWidth="1"/>
    <col min="14852" max="14852" width="47.42578125" customWidth="1"/>
    <col min="14853" max="14853" width="25.7109375" customWidth="1"/>
    <col min="14854" max="14854" width="25.5703125" customWidth="1"/>
    <col min="14855" max="14855" width="25.7109375" customWidth="1"/>
    <col min="14856" max="14856" width="32.7109375" customWidth="1"/>
    <col min="14857" max="14857" width="24.140625" customWidth="1"/>
    <col min="14858" max="14858" width="13" customWidth="1"/>
    <col min="15106" max="15106" width="3.85546875" customWidth="1"/>
    <col min="15107" max="15107" width="8.42578125" customWidth="1"/>
    <col min="15108" max="15108" width="47.42578125" customWidth="1"/>
    <col min="15109" max="15109" width="25.7109375" customWidth="1"/>
    <col min="15110" max="15110" width="25.5703125" customWidth="1"/>
    <col min="15111" max="15111" width="25.7109375" customWidth="1"/>
    <col min="15112" max="15112" width="32.7109375" customWidth="1"/>
    <col min="15113" max="15113" width="24.140625" customWidth="1"/>
    <col min="15114" max="15114" width="13" customWidth="1"/>
    <col min="15362" max="15362" width="3.85546875" customWidth="1"/>
    <col min="15363" max="15363" width="8.42578125" customWidth="1"/>
    <col min="15364" max="15364" width="47.42578125" customWidth="1"/>
    <col min="15365" max="15365" width="25.7109375" customWidth="1"/>
    <col min="15366" max="15366" width="25.5703125" customWidth="1"/>
    <col min="15367" max="15367" width="25.7109375" customWidth="1"/>
    <col min="15368" max="15368" width="32.7109375" customWidth="1"/>
    <col min="15369" max="15369" width="24.140625" customWidth="1"/>
    <col min="15370" max="15370" width="13" customWidth="1"/>
    <col min="15618" max="15618" width="3.85546875" customWidth="1"/>
    <col min="15619" max="15619" width="8.42578125" customWidth="1"/>
    <col min="15620" max="15620" width="47.42578125" customWidth="1"/>
    <col min="15621" max="15621" width="25.7109375" customWidth="1"/>
    <col min="15622" max="15622" width="25.5703125" customWidth="1"/>
    <col min="15623" max="15623" width="25.7109375" customWidth="1"/>
    <col min="15624" max="15624" width="32.7109375" customWidth="1"/>
    <col min="15625" max="15625" width="24.140625" customWidth="1"/>
    <col min="15626" max="15626" width="13" customWidth="1"/>
    <col min="15874" max="15874" width="3.85546875" customWidth="1"/>
    <col min="15875" max="15875" width="8.42578125" customWidth="1"/>
    <col min="15876" max="15876" width="47.42578125" customWidth="1"/>
    <col min="15877" max="15877" width="25.7109375" customWidth="1"/>
    <col min="15878" max="15878" width="25.5703125" customWidth="1"/>
    <col min="15879" max="15879" width="25.7109375" customWidth="1"/>
    <col min="15880" max="15880" width="32.7109375" customWidth="1"/>
    <col min="15881" max="15881" width="24.140625" customWidth="1"/>
    <col min="15882" max="15882" width="13" customWidth="1"/>
    <col min="16130" max="16130" width="3.85546875" customWidth="1"/>
    <col min="16131" max="16131" width="8.42578125" customWidth="1"/>
    <col min="16132" max="16132" width="47.42578125" customWidth="1"/>
    <col min="16133" max="16133" width="25.7109375" customWidth="1"/>
    <col min="16134" max="16134" width="25.5703125" customWidth="1"/>
    <col min="16135" max="16135" width="25.7109375" customWidth="1"/>
    <col min="16136" max="16136" width="32.7109375" customWidth="1"/>
    <col min="16137" max="16137" width="24.140625" customWidth="1"/>
    <col min="16138" max="16138" width="13" customWidth="1"/>
  </cols>
  <sheetData>
    <row r="1" spans="1:10" ht="6" customHeight="1" x14ac:dyDescent="0.2">
      <c r="A1" t="s">
        <v>378</v>
      </c>
    </row>
    <row r="2" spans="1:10" ht="24.75" customHeight="1" x14ac:dyDescent="0.2">
      <c r="B2" s="872"/>
      <c r="C2" s="873"/>
      <c r="D2" s="873"/>
      <c r="E2" s="873"/>
      <c r="F2" s="428"/>
      <c r="G2" s="428"/>
      <c r="H2" s="427"/>
      <c r="I2" s="427"/>
      <c r="J2" s="384"/>
    </row>
    <row r="3" spans="1:10" ht="61.5" customHeight="1" x14ac:dyDescent="0.25">
      <c r="B3" s="874" t="s">
        <v>425</v>
      </c>
      <c r="C3" s="874"/>
      <c r="D3" s="874"/>
      <c r="E3" s="874"/>
      <c r="F3" s="874"/>
      <c r="G3" s="874"/>
      <c r="H3" s="425"/>
      <c r="I3" s="425"/>
      <c r="J3" s="384"/>
    </row>
    <row r="4" spans="1:10" ht="12.75" customHeight="1" x14ac:dyDescent="0.2"/>
    <row r="5" spans="1:10" ht="17.25" customHeight="1" x14ac:dyDescent="0.25">
      <c r="E5" s="385"/>
      <c r="F5" s="385"/>
      <c r="G5" s="432" t="s">
        <v>1</v>
      </c>
      <c r="I5" s="386"/>
    </row>
    <row r="6" spans="1:10" ht="60" customHeight="1" x14ac:dyDescent="0.2">
      <c r="B6" s="429" t="s">
        <v>236</v>
      </c>
      <c r="C6" s="429" t="s">
        <v>379</v>
      </c>
      <c r="D6" s="430" t="s">
        <v>369</v>
      </c>
      <c r="E6" s="430" t="s">
        <v>344</v>
      </c>
      <c r="F6" s="431" t="s">
        <v>426</v>
      </c>
      <c r="G6" s="469" t="s">
        <v>427</v>
      </c>
      <c r="H6" s="387"/>
      <c r="I6" s="387"/>
      <c r="J6" s="384"/>
    </row>
    <row r="7" spans="1:10" ht="25.5" customHeight="1" x14ac:dyDescent="0.2">
      <c r="B7" s="388"/>
      <c r="C7" s="388" t="s">
        <v>382</v>
      </c>
      <c r="D7" s="395"/>
      <c r="E7" s="395"/>
      <c r="F7" s="396"/>
      <c r="G7" s="395"/>
      <c r="H7" s="392"/>
      <c r="I7" s="392"/>
      <c r="J7" s="393"/>
    </row>
    <row r="8" spans="1:10" ht="36" customHeight="1" x14ac:dyDescent="0.2">
      <c r="B8" s="398" t="s">
        <v>380</v>
      </c>
      <c r="C8" s="399" t="s">
        <v>383</v>
      </c>
      <c r="D8" s="400">
        <f>D9+D14+D15</f>
        <v>43152</v>
      </c>
      <c r="E8" s="400">
        <f>E9+E14+E15</f>
        <v>11964.6</v>
      </c>
      <c r="F8" s="400">
        <f>F9+F14+F15</f>
        <v>54747</v>
      </c>
      <c r="G8" s="400">
        <f>G9+G14+G15</f>
        <v>75676.5</v>
      </c>
      <c r="H8" s="392"/>
      <c r="I8" s="392"/>
      <c r="J8" s="393"/>
    </row>
    <row r="9" spans="1:10" ht="36" customHeight="1" x14ac:dyDescent="0.2">
      <c r="B9" s="398" t="s">
        <v>381</v>
      </c>
      <c r="C9" s="399" t="s">
        <v>384</v>
      </c>
      <c r="D9" s="400">
        <f>SUM(D10:D13)</f>
        <v>24357</v>
      </c>
      <c r="E9" s="400">
        <v>8654.6</v>
      </c>
      <c r="F9" s="400">
        <f>SUM(F10:F13)</f>
        <v>33682</v>
      </c>
      <c r="G9" s="400">
        <f>SUM(G10:G13)</f>
        <v>46848.5</v>
      </c>
      <c r="H9" s="392"/>
      <c r="I9" s="392"/>
      <c r="J9" s="393"/>
    </row>
    <row r="10" spans="1:10" ht="27.75" customHeight="1" x14ac:dyDescent="0.2">
      <c r="B10" s="389" t="s">
        <v>385</v>
      </c>
      <c r="C10" s="390" t="s">
        <v>386</v>
      </c>
      <c r="D10" s="401">
        <v>5445</v>
      </c>
      <c r="E10" s="391"/>
      <c r="F10" s="768">
        <v>6443</v>
      </c>
      <c r="G10" s="767">
        <v>8783</v>
      </c>
      <c r="H10" s="392"/>
      <c r="I10" s="392"/>
      <c r="J10" s="393"/>
    </row>
    <row r="11" spans="1:10" ht="27.75" customHeight="1" x14ac:dyDescent="0.2">
      <c r="B11" s="389" t="s">
        <v>387</v>
      </c>
      <c r="C11" s="390" t="s">
        <v>388</v>
      </c>
      <c r="D11" s="401">
        <f>19067-6286</f>
        <v>12781</v>
      </c>
      <c r="E11" s="391"/>
      <c r="F11" s="768">
        <f>24130-5707</f>
        <v>18423</v>
      </c>
      <c r="G11" s="767">
        <f>27833-5630</f>
        <v>22203</v>
      </c>
      <c r="H11" s="392"/>
      <c r="I11" s="392"/>
      <c r="J11" s="402"/>
    </row>
    <row r="12" spans="1:10" ht="31.5" customHeight="1" x14ac:dyDescent="0.2">
      <c r="B12" s="389" t="s">
        <v>389</v>
      </c>
      <c r="C12" s="390" t="s">
        <v>390</v>
      </c>
      <c r="D12" s="401">
        <v>4446</v>
      </c>
      <c r="E12" s="391">
        <v>689.6</v>
      </c>
      <c r="F12" s="768">
        <v>5735</v>
      </c>
      <c r="G12" s="767">
        <v>7139</v>
      </c>
      <c r="H12" s="392"/>
      <c r="I12" s="392"/>
      <c r="J12" s="393"/>
    </row>
    <row r="13" spans="1:10" ht="34.5" customHeight="1" x14ac:dyDescent="0.2">
      <c r="B13" s="389" t="s">
        <v>391</v>
      </c>
      <c r="C13" s="390" t="s">
        <v>392</v>
      </c>
      <c r="D13" s="401">
        <v>1685</v>
      </c>
      <c r="E13" s="391"/>
      <c r="F13" s="768">
        <v>3081</v>
      </c>
      <c r="G13" s="767">
        <v>8723.5</v>
      </c>
      <c r="H13" s="392"/>
      <c r="I13" s="392"/>
      <c r="J13" s="393"/>
    </row>
    <row r="14" spans="1:10" ht="27" customHeight="1" x14ac:dyDescent="0.2">
      <c r="B14" s="398" t="s">
        <v>393</v>
      </c>
      <c r="C14" s="399" t="s">
        <v>394</v>
      </c>
      <c r="D14" s="400">
        <v>20</v>
      </c>
      <c r="E14" s="400"/>
      <c r="F14" s="403">
        <v>0</v>
      </c>
      <c r="G14" s="400">
        <v>0</v>
      </c>
      <c r="H14" s="392"/>
      <c r="I14" s="392"/>
      <c r="J14" s="393"/>
    </row>
    <row r="15" spans="1:10" ht="27" customHeight="1" x14ac:dyDescent="0.2">
      <c r="B15" s="398" t="s">
        <v>395</v>
      </c>
      <c r="C15" s="399" t="s">
        <v>396</v>
      </c>
      <c r="D15" s="400">
        <f>SUM(D16:D27)</f>
        <v>18775</v>
      </c>
      <c r="E15" s="400">
        <v>3310</v>
      </c>
      <c r="F15" s="400">
        <f>SUM(F16:F27)</f>
        <v>21065</v>
      </c>
      <c r="G15" s="400">
        <f>SUM(G16:G27)</f>
        <v>28828</v>
      </c>
      <c r="H15" s="392"/>
      <c r="I15" s="392"/>
      <c r="J15" s="393"/>
    </row>
    <row r="16" spans="1:10" ht="36" customHeight="1" x14ac:dyDescent="0.2">
      <c r="B16" s="389" t="s">
        <v>397</v>
      </c>
      <c r="C16" s="390" t="s">
        <v>398</v>
      </c>
      <c r="D16" s="391">
        <v>226</v>
      </c>
      <c r="E16" s="391"/>
      <c r="F16" s="397">
        <v>8</v>
      </c>
      <c r="G16" s="391">
        <v>1</v>
      </c>
      <c r="H16" s="392"/>
      <c r="I16" s="392"/>
      <c r="J16" s="393"/>
    </row>
    <row r="17" spans="2:10" ht="36" customHeight="1" x14ac:dyDescent="0.2">
      <c r="B17" s="389" t="s">
        <v>399</v>
      </c>
      <c r="C17" s="390" t="s">
        <v>400</v>
      </c>
      <c r="D17" s="391">
        <v>16241</v>
      </c>
      <c r="E17" s="391"/>
      <c r="F17" s="397">
        <v>18552</v>
      </c>
      <c r="G17" s="391">
        <v>22532</v>
      </c>
      <c r="H17" s="392"/>
      <c r="I17" s="392"/>
      <c r="J17" s="393"/>
    </row>
    <row r="18" spans="2:10" ht="36" customHeight="1" x14ac:dyDescent="0.2">
      <c r="B18" s="389" t="s">
        <v>401</v>
      </c>
      <c r="C18" s="390" t="s">
        <v>402</v>
      </c>
      <c r="D18" s="391">
        <v>319</v>
      </c>
      <c r="E18" s="391"/>
      <c r="F18" s="397">
        <v>735</v>
      </c>
      <c r="G18" s="391">
        <v>1012</v>
      </c>
      <c r="H18" s="392"/>
      <c r="I18" s="392"/>
      <c r="J18" s="393"/>
    </row>
    <row r="19" spans="2:10" ht="28.5" customHeight="1" x14ac:dyDescent="0.2">
      <c r="B19" s="389" t="s">
        <v>403</v>
      </c>
      <c r="C19" s="390" t="s">
        <v>404</v>
      </c>
      <c r="D19" s="391">
        <v>117</v>
      </c>
      <c r="E19" s="391"/>
      <c r="F19" s="397">
        <v>113</v>
      </c>
      <c r="G19" s="391">
        <v>128</v>
      </c>
      <c r="H19" s="392"/>
      <c r="I19" s="392"/>
      <c r="J19" s="393"/>
    </row>
    <row r="20" spans="2:10" ht="28.5" customHeight="1" x14ac:dyDescent="0.2">
      <c r="B20" s="389" t="s">
        <v>405</v>
      </c>
      <c r="C20" s="390" t="s">
        <v>406</v>
      </c>
      <c r="D20" s="391">
        <v>0</v>
      </c>
      <c r="E20" s="391"/>
      <c r="F20" s="397">
        <v>0</v>
      </c>
      <c r="G20" s="391"/>
      <c r="H20" s="392"/>
      <c r="I20" s="392"/>
      <c r="J20" s="393"/>
    </row>
    <row r="21" spans="2:10" ht="28.5" customHeight="1" x14ac:dyDescent="0.2">
      <c r="B21" s="389" t="s">
        <v>407</v>
      </c>
      <c r="C21" s="390" t="s">
        <v>408</v>
      </c>
      <c r="D21" s="394">
        <v>195</v>
      </c>
      <c r="E21" s="394"/>
      <c r="F21" s="404">
        <v>256</v>
      </c>
      <c r="G21" s="394">
        <v>300</v>
      </c>
      <c r="H21" s="392"/>
      <c r="I21" s="392"/>
      <c r="J21" s="393"/>
    </row>
    <row r="22" spans="2:10" ht="34.9" customHeight="1" x14ac:dyDescent="0.2">
      <c r="B22" s="389" t="s">
        <v>409</v>
      </c>
      <c r="C22" s="390" t="s">
        <v>410</v>
      </c>
      <c r="D22" s="394">
        <v>59</v>
      </c>
      <c r="E22" s="394"/>
      <c r="F22" s="404">
        <v>17</v>
      </c>
      <c r="G22" s="394">
        <v>0</v>
      </c>
      <c r="H22" s="392"/>
      <c r="I22" s="392"/>
      <c r="J22" s="393"/>
    </row>
    <row r="23" spans="2:10" ht="34.5" customHeight="1" x14ac:dyDescent="0.2">
      <c r="B23" s="389" t="s">
        <v>411</v>
      </c>
      <c r="C23" s="390" t="s">
        <v>412</v>
      </c>
      <c r="D23" s="394">
        <v>0</v>
      </c>
      <c r="E23" s="394"/>
      <c r="F23" s="404">
        <v>0</v>
      </c>
      <c r="G23" s="394">
        <v>0</v>
      </c>
      <c r="H23" s="392"/>
      <c r="I23" s="392"/>
      <c r="J23" s="393"/>
    </row>
    <row r="24" spans="2:10" ht="28.5" customHeight="1" x14ac:dyDescent="0.2">
      <c r="B24" s="389" t="s">
        <v>413</v>
      </c>
      <c r="C24" s="390" t="s">
        <v>414</v>
      </c>
      <c r="D24" s="394">
        <v>0</v>
      </c>
      <c r="E24" s="394"/>
      <c r="F24" s="404">
        <v>0</v>
      </c>
      <c r="G24" s="394">
        <v>0</v>
      </c>
      <c r="H24" s="392"/>
      <c r="I24" s="392"/>
      <c r="J24" s="393"/>
    </row>
    <row r="25" spans="2:10" ht="28.5" customHeight="1" x14ac:dyDescent="0.2">
      <c r="B25" s="389" t="s">
        <v>415</v>
      </c>
      <c r="C25" s="390" t="s">
        <v>416</v>
      </c>
      <c r="D25" s="405">
        <v>40</v>
      </c>
      <c r="E25" s="405"/>
      <c r="F25" s="406">
        <v>7</v>
      </c>
      <c r="G25" s="405">
        <v>0</v>
      </c>
      <c r="H25" s="392"/>
      <c r="I25" s="392"/>
      <c r="J25" s="393"/>
    </row>
    <row r="26" spans="2:10" ht="28.5" customHeight="1" x14ac:dyDescent="0.2">
      <c r="B26" s="389" t="s">
        <v>417</v>
      </c>
      <c r="C26" s="390" t="s">
        <v>418</v>
      </c>
      <c r="D26" s="394">
        <v>0</v>
      </c>
      <c r="E26" s="394"/>
      <c r="F26" s="404">
        <v>2</v>
      </c>
      <c r="G26" s="394">
        <v>0</v>
      </c>
      <c r="H26" s="392"/>
      <c r="I26" s="392"/>
      <c r="J26" s="393"/>
    </row>
    <row r="27" spans="2:10" ht="28.5" customHeight="1" x14ac:dyDescent="0.2">
      <c r="B27" s="389" t="s">
        <v>419</v>
      </c>
      <c r="C27" s="390" t="s">
        <v>420</v>
      </c>
      <c r="D27" s="394">
        <v>1578</v>
      </c>
      <c r="E27" s="394"/>
      <c r="F27" s="404">
        <v>1375</v>
      </c>
      <c r="G27" s="394">
        <v>4855</v>
      </c>
      <c r="H27" s="392"/>
      <c r="I27" s="392"/>
      <c r="J27" s="393"/>
    </row>
    <row r="28" spans="2:10" ht="24.75" hidden="1" customHeight="1" x14ac:dyDescent="0.2">
      <c r="B28" s="398" t="s">
        <v>267</v>
      </c>
      <c r="C28" s="399" t="s">
        <v>421</v>
      </c>
      <c r="D28" s="400">
        <v>23930</v>
      </c>
      <c r="E28" s="394"/>
      <c r="F28" s="404"/>
      <c r="G28" s="394"/>
      <c r="H28" s="392"/>
      <c r="I28" s="392"/>
      <c r="J28" s="393"/>
    </row>
    <row r="29" spans="2:10" ht="22.5" hidden="1" customHeight="1" x14ac:dyDescent="0.2">
      <c r="B29" s="398" t="s">
        <v>268</v>
      </c>
      <c r="C29" s="399" t="s">
        <v>422</v>
      </c>
      <c r="D29" s="400">
        <v>9513</v>
      </c>
      <c r="E29" s="394"/>
      <c r="F29" s="404"/>
      <c r="G29" s="394"/>
      <c r="H29" s="392"/>
      <c r="I29" s="392"/>
      <c r="J29" s="393"/>
    </row>
    <row r="30" spans="2:10" ht="28.5" customHeight="1" x14ac:dyDescent="0.2">
      <c r="B30" s="407"/>
      <c r="C30" s="408"/>
      <c r="D30" s="393"/>
      <c r="E30" s="393"/>
      <c r="F30" s="393"/>
      <c r="G30" s="393"/>
      <c r="H30" s="392"/>
      <c r="I30" s="392"/>
      <c r="J30" s="393"/>
    </row>
    <row r="31" spans="2:10" ht="28.5" customHeight="1" x14ac:dyDescent="0.2">
      <c r="B31" s="407"/>
      <c r="C31" s="408"/>
      <c r="D31" s="393"/>
      <c r="E31" s="393"/>
      <c r="F31" s="393"/>
      <c r="G31" s="393"/>
      <c r="H31" s="392"/>
      <c r="I31" s="392"/>
      <c r="J31" s="393"/>
    </row>
    <row r="32" spans="2:10" s="411" customFormat="1" ht="21.75" customHeight="1" x14ac:dyDescent="0.25">
      <c r="B32" s="409"/>
      <c r="C32" s="764" t="s">
        <v>441</v>
      </c>
      <c r="D32" s="765"/>
      <c r="E32" s="766" t="s">
        <v>423</v>
      </c>
      <c r="F32" s="764"/>
      <c r="G32" s="766"/>
      <c r="H32" s="766"/>
      <c r="I32" s="410"/>
      <c r="J32" s="410"/>
    </row>
    <row r="33" spans="2:10" ht="15.75" x14ac:dyDescent="0.25">
      <c r="B33" s="875"/>
      <c r="C33" s="876"/>
      <c r="D33" s="411"/>
      <c r="E33" s="412"/>
      <c r="F33" s="412"/>
      <c r="G33" s="412"/>
      <c r="H33" s="411"/>
      <c r="I33" s="411"/>
      <c r="J33" s="411"/>
    </row>
    <row r="34" spans="2:10" ht="15.75" customHeight="1" x14ac:dyDescent="0.2">
      <c r="B34" s="876"/>
      <c r="C34" s="876"/>
      <c r="D34" s="414"/>
      <c r="E34" s="413"/>
      <c r="F34" s="413"/>
      <c r="G34" s="413"/>
      <c r="H34" s="877"/>
      <c r="I34" s="877"/>
      <c r="J34" s="424"/>
    </row>
    <row r="35" spans="2:10" ht="20.25" customHeight="1" x14ac:dyDescent="0.25">
      <c r="C35" s="764" t="s">
        <v>442</v>
      </c>
      <c r="D35" s="765"/>
      <c r="E35" s="764" t="s">
        <v>443</v>
      </c>
      <c r="F35" s="764"/>
      <c r="G35" s="764"/>
      <c r="H35" s="411"/>
      <c r="I35" s="411"/>
      <c r="J35" s="411"/>
    </row>
    <row r="36" spans="2:10" ht="17.25" customHeight="1" x14ac:dyDescent="0.25">
      <c r="B36" s="875"/>
      <c r="C36" s="875"/>
      <c r="D36" s="411"/>
      <c r="E36" s="412"/>
      <c r="F36" s="412"/>
      <c r="G36" s="412"/>
      <c r="H36" s="411"/>
      <c r="I36" s="411"/>
      <c r="J36" s="411"/>
    </row>
    <row r="37" spans="2:10" ht="17.25" customHeight="1" x14ac:dyDescent="0.25">
      <c r="B37" s="875"/>
      <c r="C37" s="875"/>
      <c r="D37" s="415"/>
      <c r="E37" s="413"/>
      <c r="F37" s="413"/>
      <c r="G37" s="413"/>
      <c r="H37" s="877"/>
      <c r="I37" s="877"/>
      <c r="J37" s="424"/>
    </row>
    <row r="38" spans="2:10" ht="19.5" customHeight="1" x14ac:dyDescent="0.2">
      <c r="H38" s="411"/>
      <c r="I38" s="411"/>
    </row>
    <row r="39" spans="2:10" ht="16.5" x14ac:dyDescent="0.25">
      <c r="B39" s="869"/>
      <c r="C39" s="869"/>
      <c r="D39" s="870"/>
      <c r="E39" s="871"/>
      <c r="F39" s="426"/>
      <c r="G39" s="426"/>
      <c r="H39" s="416"/>
      <c r="I39" s="416"/>
      <c r="J39" s="417"/>
    </row>
    <row r="40" spans="2:10" x14ac:dyDescent="0.2">
      <c r="H40" s="411"/>
      <c r="I40" s="411"/>
    </row>
    <row r="41" spans="2:10" x14ac:dyDescent="0.2">
      <c r="H41" s="411"/>
      <c r="I41" s="411"/>
    </row>
    <row r="43" spans="2:10" ht="12" customHeight="1" x14ac:dyDescent="0.2"/>
    <row r="46" spans="2:10" ht="16.5" x14ac:dyDescent="0.25">
      <c r="C46" s="418"/>
      <c r="D46" s="419"/>
      <c r="E46" s="419"/>
      <c r="F46" s="419"/>
      <c r="G46" s="419"/>
      <c r="H46" s="419"/>
      <c r="I46" s="419"/>
      <c r="J46" s="419"/>
    </row>
    <row r="47" spans="2:10" ht="16.5" x14ac:dyDescent="0.25">
      <c r="C47" s="418"/>
      <c r="D47" s="419"/>
      <c r="E47" s="419"/>
      <c r="F47" s="419"/>
      <c r="G47" s="419"/>
      <c r="H47" s="419"/>
      <c r="I47" s="419"/>
      <c r="J47" s="419"/>
    </row>
    <row r="48" spans="2:10" ht="16.5" x14ac:dyDescent="0.25">
      <c r="C48" s="418"/>
      <c r="D48" s="419"/>
      <c r="E48" s="419"/>
      <c r="F48" s="419"/>
      <c r="G48" s="419"/>
      <c r="H48" s="419"/>
      <c r="I48" s="419"/>
      <c r="J48" s="419"/>
    </row>
    <row r="49" spans="3:10" ht="16.5" x14ac:dyDescent="0.25">
      <c r="C49" s="418"/>
      <c r="D49" s="419"/>
      <c r="E49" s="419"/>
      <c r="F49" s="419"/>
      <c r="G49" s="419"/>
      <c r="H49" s="419"/>
      <c r="I49" s="419"/>
      <c r="J49" s="419"/>
    </row>
    <row r="50" spans="3:10" ht="16.5" x14ac:dyDescent="0.25">
      <c r="C50" s="418"/>
      <c r="D50" s="419"/>
      <c r="E50" s="419"/>
      <c r="F50" s="419"/>
      <c r="G50" s="419"/>
      <c r="H50" s="419"/>
      <c r="I50" s="419"/>
      <c r="J50" s="419"/>
    </row>
    <row r="51" spans="3:10" ht="16.5" x14ac:dyDescent="0.25">
      <c r="C51" s="418"/>
      <c r="D51" s="419"/>
      <c r="E51" s="419"/>
      <c r="F51" s="419"/>
      <c r="G51" s="419"/>
      <c r="H51" s="419"/>
      <c r="I51" s="419"/>
      <c r="J51" s="419"/>
    </row>
    <row r="52" spans="3:10" ht="16.5" x14ac:dyDescent="0.25">
      <c r="C52" s="418"/>
      <c r="D52" s="419"/>
      <c r="E52" s="419"/>
      <c r="F52" s="419"/>
      <c r="G52" s="419"/>
      <c r="H52" s="419"/>
      <c r="I52" s="419"/>
      <c r="J52" s="419"/>
    </row>
    <row r="53" spans="3:10" ht="16.5" x14ac:dyDescent="0.25">
      <c r="C53" s="418"/>
      <c r="D53" s="419"/>
      <c r="E53" s="419"/>
      <c r="F53" s="419"/>
      <c r="G53" s="419"/>
      <c r="H53" s="419"/>
      <c r="I53" s="419"/>
      <c r="J53" s="419"/>
    </row>
    <row r="54" spans="3:10" ht="16.5" x14ac:dyDescent="0.25">
      <c r="C54" s="418"/>
      <c r="D54" s="419"/>
      <c r="E54" s="419"/>
      <c r="F54" s="419"/>
      <c r="G54" s="419"/>
      <c r="H54" s="419"/>
      <c r="I54" s="419"/>
      <c r="J54" s="419"/>
    </row>
    <row r="55" spans="3:10" ht="16.5" x14ac:dyDescent="0.25">
      <c r="C55" s="418"/>
      <c r="D55" s="419"/>
      <c r="E55" s="419"/>
      <c r="F55" s="419"/>
      <c r="G55" s="419"/>
      <c r="H55" s="419"/>
      <c r="I55" s="419"/>
      <c r="J55" s="419"/>
    </row>
    <row r="56" spans="3:10" ht="16.5" x14ac:dyDescent="0.25">
      <c r="C56" s="418"/>
      <c r="D56" s="419"/>
      <c r="E56" s="419"/>
      <c r="F56" s="419"/>
      <c r="G56" s="419"/>
      <c r="H56" s="419"/>
      <c r="I56" s="419"/>
      <c r="J56" s="419"/>
    </row>
    <row r="57" spans="3:10" ht="16.5" x14ac:dyDescent="0.25">
      <c r="C57" s="418"/>
      <c r="D57" s="419"/>
      <c r="E57" s="419"/>
      <c r="F57" s="419"/>
      <c r="G57" s="419"/>
      <c r="H57" s="419"/>
      <c r="I57" s="419"/>
      <c r="J57" s="419"/>
    </row>
    <row r="58" spans="3:10" ht="16.5" x14ac:dyDescent="0.25">
      <c r="C58" s="418"/>
      <c r="D58" s="419"/>
      <c r="E58" s="419"/>
      <c r="F58" s="419"/>
      <c r="G58" s="419"/>
      <c r="H58" s="419"/>
      <c r="I58" s="419"/>
      <c r="J58" s="419"/>
    </row>
    <row r="59" spans="3:10" ht="16.5" x14ac:dyDescent="0.25">
      <c r="C59" s="418"/>
      <c r="D59" s="419"/>
      <c r="E59" s="419"/>
      <c r="F59" s="419"/>
      <c r="G59" s="419"/>
      <c r="H59" s="419"/>
      <c r="I59" s="419"/>
      <c r="J59" s="419"/>
    </row>
    <row r="60" spans="3:10" ht="16.5" x14ac:dyDescent="0.25">
      <c r="C60" s="418"/>
      <c r="D60" s="419"/>
      <c r="E60" s="419"/>
      <c r="F60" s="419"/>
      <c r="G60" s="419"/>
      <c r="H60" s="419"/>
      <c r="I60" s="419"/>
      <c r="J60" s="419"/>
    </row>
    <row r="61" spans="3:10" ht="16.5" x14ac:dyDescent="0.25">
      <c r="C61" s="418"/>
      <c r="D61" s="419"/>
      <c r="E61" s="419"/>
      <c r="F61" s="419"/>
      <c r="G61" s="419"/>
      <c r="H61" s="419"/>
      <c r="I61" s="419"/>
      <c r="J61" s="419"/>
    </row>
    <row r="62" spans="3:10" ht="16.5" x14ac:dyDescent="0.25">
      <c r="C62" s="418"/>
      <c r="D62" s="419"/>
      <c r="E62" s="419"/>
      <c r="F62" s="419"/>
      <c r="G62" s="419"/>
      <c r="H62" s="419"/>
      <c r="I62" s="419"/>
      <c r="J62" s="419"/>
    </row>
    <row r="63" spans="3:10" ht="16.5" x14ac:dyDescent="0.25">
      <c r="C63" s="418"/>
      <c r="D63" s="419"/>
      <c r="E63" s="419"/>
      <c r="F63" s="419"/>
      <c r="G63" s="419"/>
      <c r="H63" s="419"/>
      <c r="I63" s="419"/>
      <c r="J63" s="419"/>
    </row>
    <row r="64" spans="3:10" ht="16.5" x14ac:dyDescent="0.25">
      <c r="C64" s="418"/>
      <c r="D64" s="419"/>
      <c r="E64" s="419"/>
      <c r="F64" s="419"/>
      <c r="G64" s="419"/>
      <c r="H64" s="419"/>
      <c r="I64" s="419"/>
      <c r="J64" s="419"/>
    </row>
    <row r="65" spans="3:10" ht="16.5" x14ac:dyDescent="0.25">
      <c r="C65" s="418"/>
      <c r="D65" s="419"/>
      <c r="E65" s="419"/>
      <c r="F65" s="419"/>
      <c r="G65" s="419"/>
      <c r="H65" s="419"/>
      <c r="I65" s="419"/>
      <c r="J65" s="419"/>
    </row>
    <row r="66" spans="3:10" ht="16.5" x14ac:dyDescent="0.25">
      <c r="C66" s="418"/>
      <c r="D66" s="419"/>
      <c r="E66" s="419"/>
      <c r="F66" s="419"/>
      <c r="G66" s="419"/>
      <c r="H66" s="419"/>
      <c r="I66" s="419"/>
      <c r="J66" s="419"/>
    </row>
    <row r="67" spans="3:10" ht="16.5" x14ac:dyDescent="0.25">
      <c r="C67" s="418"/>
      <c r="D67" s="419"/>
      <c r="E67" s="419"/>
      <c r="F67" s="419"/>
      <c r="G67" s="419"/>
      <c r="H67" s="419"/>
      <c r="I67" s="419"/>
      <c r="J67" s="419"/>
    </row>
    <row r="68" spans="3:10" ht="16.5" x14ac:dyDescent="0.25">
      <c r="C68" s="418"/>
      <c r="D68" s="419"/>
      <c r="E68" s="419"/>
      <c r="F68" s="419"/>
      <c r="G68" s="419"/>
      <c r="H68" s="419"/>
      <c r="I68" s="419"/>
      <c r="J68" s="419"/>
    </row>
    <row r="69" spans="3:10" ht="16.5" x14ac:dyDescent="0.25">
      <c r="C69" s="418"/>
    </row>
    <row r="70" spans="3:10" ht="16.5" x14ac:dyDescent="0.25">
      <c r="C70" s="418"/>
    </row>
    <row r="71" spans="3:10" ht="16.5" x14ac:dyDescent="0.25">
      <c r="C71" s="418"/>
    </row>
    <row r="72" spans="3:10" ht="16.5" x14ac:dyDescent="0.25">
      <c r="C72" s="418"/>
    </row>
    <row r="73" spans="3:10" ht="16.5" x14ac:dyDescent="0.25">
      <c r="C73" s="418"/>
    </row>
    <row r="74" spans="3:10" ht="16.5" x14ac:dyDescent="0.25">
      <c r="C74" s="418"/>
    </row>
    <row r="75" spans="3:10" ht="16.5" x14ac:dyDescent="0.25">
      <c r="C75" s="418"/>
    </row>
    <row r="76" spans="3:10" ht="16.5" x14ac:dyDescent="0.25">
      <c r="C76" s="418"/>
    </row>
    <row r="77" spans="3:10" ht="16.5" x14ac:dyDescent="0.25">
      <c r="C77" s="418"/>
    </row>
    <row r="78" spans="3:10" ht="16.5" x14ac:dyDescent="0.25">
      <c r="C78" s="418"/>
    </row>
    <row r="79" spans="3:10" ht="16.5" x14ac:dyDescent="0.25">
      <c r="C79" s="418"/>
    </row>
    <row r="80" spans="3:10" ht="16.5" x14ac:dyDescent="0.25">
      <c r="C80" s="418"/>
    </row>
    <row r="81" spans="3:3" ht="16.5" x14ac:dyDescent="0.25">
      <c r="C81" s="418"/>
    </row>
    <row r="82" spans="3:3" ht="16.5" x14ac:dyDescent="0.25">
      <c r="C82" s="418"/>
    </row>
    <row r="83" spans="3:3" ht="16.5" x14ac:dyDescent="0.25">
      <c r="C83" s="418"/>
    </row>
    <row r="84" spans="3:3" ht="16.5" x14ac:dyDescent="0.25">
      <c r="C84" s="418"/>
    </row>
    <row r="85" spans="3:3" ht="16.5" x14ac:dyDescent="0.25">
      <c r="C85" s="418"/>
    </row>
    <row r="86" spans="3:3" ht="16.5" x14ac:dyDescent="0.25">
      <c r="C86" s="418"/>
    </row>
    <row r="87" spans="3:3" ht="16.5" x14ac:dyDescent="0.25">
      <c r="C87" s="418"/>
    </row>
    <row r="88" spans="3:3" ht="16.5" x14ac:dyDescent="0.25">
      <c r="C88" s="418"/>
    </row>
    <row r="89" spans="3:3" ht="16.5" x14ac:dyDescent="0.25">
      <c r="C89" s="418"/>
    </row>
    <row r="90" spans="3:3" ht="16.5" x14ac:dyDescent="0.25">
      <c r="C90" s="418"/>
    </row>
    <row r="91" spans="3:3" ht="16.5" x14ac:dyDescent="0.25">
      <c r="C91" s="418"/>
    </row>
    <row r="92" spans="3:3" ht="16.5" x14ac:dyDescent="0.25">
      <c r="C92" s="418"/>
    </row>
    <row r="93" spans="3:3" ht="16.5" x14ac:dyDescent="0.25">
      <c r="C93" s="418"/>
    </row>
    <row r="94" spans="3:3" ht="16.5" x14ac:dyDescent="0.25">
      <c r="C94" s="418"/>
    </row>
    <row r="95" spans="3:3" ht="16.5" x14ac:dyDescent="0.25">
      <c r="C95" s="418"/>
    </row>
    <row r="96" spans="3:3" ht="16.5" x14ac:dyDescent="0.25">
      <c r="C96" s="418"/>
    </row>
    <row r="97" spans="3:3" ht="16.5" x14ac:dyDescent="0.25">
      <c r="C97" s="418"/>
    </row>
    <row r="98" spans="3:3" ht="16.5" x14ac:dyDescent="0.25">
      <c r="C98" s="418"/>
    </row>
    <row r="99" spans="3:3" ht="16.5" x14ac:dyDescent="0.25">
      <c r="C99" s="418"/>
    </row>
    <row r="100" spans="3:3" ht="16.5" x14ac:dyDescent="0.25">
      <c r="C100" s="418"/>
    </row>
  </sheetData>
  <mergeCells count="8">
    <mergeCell ref="H34:I34"/>
    <mergeCell ref="B36:C37"/>
    <mergeCell ref="H37:I37"/>
    <mergeCell ref="B39:C39"/>
    <mergeCell ref="D39:E39"/>
    <mergeCell ref="B2:E2"/>
    <mergeCell ref="B3:G3"/>
    <mergeCell ref="B33:C34"/>
  </mergeCells>
  <pageMargins left="0.7" right="0.7" top="0.75" bottom="0.75" header="0.3" footer="0.3"/>
  <pageSetup paperSize="9" scale="7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vt:i4>
      </vt:variant>
    </vt:vector>
  </HeadingPairs>
  <TitlesOfParts>
    <vt:vector size="8" baseType="lpstr">
      <vt:lpstr>ДОДАТОК2</vt:lpstr>
      <vt:lpstr>ДОДАТОК_3</vt:lpstr>
      <vt:lpstr>ДОДАТОК_4</vt:lpstr>
      <vt:lpstr>ДОДАТОК_5</vt:lpstr>
      <vt:lpstr>ДОДАТОК_6</vt:lpstr>
      <vt:lpstr>Расш ІОД</vt:lpstr>
      <vt:lpstr>Лист1</vt:lpstr>
      <vt:lpstr>ДОДАТОК_4!Заголовки_для_печати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work</dc:creator>
  <cp:lastModifiedBy>operator</cp:lastModifiedBy>
  <cp:lastPrinted>2020-09-29T14:11:50Z</cp:lastPrinted>
  <dcterms:created xsi:type="dcterms:W3CDTF">2016-03-28T08:43:50Z</dcterms:created>
  <dcterms:modified xsi:type="dcterms:W3CDTF">2020-09-29T14:11:57Z</dcterms:modified>
</cp:coreProperties>
</file>